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7340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<sst xmlns="http://schemas.openxmlformats.org/spreadsheetml/2006/main" count="58" uniqueCount="42">
  <si>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Исполнитель</t>
  </si>
  <si>
    <t>Дата:</t>
  </si>
  <si>
    <t>№ партии</t>
  </si>
  <si>
    <t>Раздел I: Градуировочный график</t>
  </si>
  <si>
    <t>К.В.</t>
  </si>
  <si>
    <r>
      <t>lgC</t>
    </r>
    <r>
      <rPr>
        <b/>
        <vertAlign val="subscript"/>
        <sz val="10"/>
        <rFont val="Arial"/>
        <family val="2"/>
      </rPr>
      <t>i</t>
    </r>
  </si>
  <si>
    <r>
      <t>С</t>
    </r>
    <r>
      <rPr>
        <b/>
        <vertAlign val="subscript"/>
        <sz val="10"/>
        <rFont val="Arial"/>
        <family val="2"/>
      </rPr>
      <t>0</t>
    </r>
  </si>
  <si>
    <r>
      <t>С</t>
    </r>
    <r>
      <rPr>
        <b/>
        <vertAlign val="subscript"/>
        <sz val="10"/>
        <rFont val="Arial"/>
        <family val="2"/>
      </rPr>
      <t>1</t>
    </r>
  </si>
  <si>
    <r>
      <t>С</t>
    </r>
    <r>
      <rPr>
        <b/>
        <vertAlign val="subscript"/>
        <sz val="10"/>
        <rFont val="Arial"/>
        <family val="2"/>
      </rPr>
      <t>2</t>
    </r>
  </si>
  <si>
    <r>
      <t>С</t>
    </r>
    <r>
      <rPr>
        <b/>
        <vertAlign val="subscript"/>
        <sz val="10"/>
        <rFont val="Arial"/>
        <family val="2"/>
      </rPr>
      <t>3</t>
    </r>
  </si>
  <si>
    <r>
      <t>Интерсепт 50% (IC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>)=</t>
    </r>
  </si>
  <si>
    <t>№</t>
  </si>
  <si>
    <t>Наименование образца</t>
  </si>
  <si>
    <t>Фактор разведения</t>
  </si>
  <si>
    <r>
      <t>Оптическая плотность B</t>
    </r>
    <r>
      <rPr>
        <b/>
        <vertAlign val="subscript"/>
        <sz val="10"/>
        <rFont val="Arial"/>
        <family val="2"/>
      </rPr>
      <t>p</t>
    </r>
  </si>
  <si>
    <t>Примечания</t>
  </si>
  <si>
    <t>Градуировочный раствор</t>
  </si>
  <si>
    <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</si>
  <si>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</si>
  <si>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R =</t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</si>
  <si>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</si>
  <si>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мкг/кг</t>
  </si>
  <si>
    <r>
      <t>С</t>
    </r>
    <r>
      <rPr>
        <b/>
        <vertAlign val="subscript"/>
        <sz val="10"/>
        <rFont val="Arial"/>
        <family val="2"/>
      </rPr>
      <t>4</t>
    </r>
  </si>
  <si>
    <r>
      <t>Оптическая плотность 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</si>
  <si>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, мкг/кг</t>
    </r>
  </si>
  <si>
    <t>Группа продуктов</t>
  </si>
  <si>
    <t>Продукт</t>
  </si>
  <si>
    <t>Предел повтряемости r, %</t>
  </si>
  <si>
    <t>Относительная расширенная неопределенность U, %</t>
  </si>
  <si>
    <t>зерно</t>
  </si>
  <si>
    <t>мукомольно-крупяные изделия</t>
  </si>
  <si>
    <t>хлебобулочные изделия</t>
  </si>
  <si>
    <t>макаронные изделия</t>
  </si>
  <si>
    <t>корма</t>
  </si>
  <si>
    <t>продукты масложировой промышленности</t>
  </si>
  <si>
    <t>глютены</t>
  </si>
  <si>
    <t>Оценка прием-лемости в условиях повторяемости</t>
  </si>
  <si>
    <r>
      <rPr>
        <b/>
        <u val="single"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 xml:space="preserve">
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±Uабс, мкг/кг</t>
    </r>
  </si>
  <si>
    <t>Раздел II: Расчет массовой доли зеараленона</t>
  </si>
  <si>
    <t>зернобобовые культуры</t>
  </si>
  <si>
    <t>масличные культуры</t>
  </si>
  <si>
    <t>Определение зеараленона. Набор "ИФА-ЗЕАРАЛЕНОН" (20,0-450,0 мкг/кг)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</si>
</sst>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"/>
    <numFmt numFmtId="167" formatCode="0.0"/>
    <numFmt numFmtId="168" formatCode="#,##0.0"/>
    <numFmt numFmtId="169" formatCode="\±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7"/>
      <name val="Arial"/>
      <family val="2"/>
    </font>
    <font>
      <sz val="8"/>
      <name val="Tahoma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9" tint="0.799979984760284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10" fontId="49" fillId="0" borderId="12" xfId="0" applyNumberFormat="1" applyFont="1" applyBorder="1" applyAlignment="1" applyProtection="1">
      <alignment horizontal="center" vertical="center"/>
      <protection hidden="1"/>
    </xf>
    <xf numFmtId="165" fontId="49" fillId="0" borderId="12" xfId="0" applyNumberFormat="1" applyFont="1" applyBorder="1" applyAlignment="1" applyProtection="1">
      <alignment horizontal="center" vertical="center"/>
      <protection hidden="1"/>
    </xf>
    <xf numFmtId="2" fontId="49" fillId="0" borderId="12" xfId="0" applyNumberFormat="1" applyFont="1" applyBorder="1" applyAlignment="1" applyProtection="1">
      <alignment horizontal="center" vertical="center"/>
      <protection hidden="1"/>
    </xf>
    <xf numFmtId="2" fontId="49" fillId="0" borderId="0" xfId="0" applyNumberFormat="1" applyFont="1" applyBorder="1" applyAlignment="1" applyProtection="1">
      <alignment horizontal="center"/>
      <protection hidden="1"/>
    </xf>
    <xf numFmtId="164" fontId="49" fillId="0" borderId="0" xfId="0" applyNumberFormat="1" applyFont="1" applyFill="1" applyBorder="1" applyAlignment="1" applyProtection="1">
      <alignment horizontal="center"/>
      <protection hidden="1"/>
    </xf>
    <xf numFmtId="2" fontId="49" fillId="0" borderId="0" xfId="0" applyNumberFormat="1" applyFont="1" applyFill="1" applyBorder="1" applyAlignment="1" applyProtection="1">
      <alignment horizontal="center"/>
      <protection hidden="1"/>
    </xf>
    <xf numFmtId="10" fontId="49" fillId="0" borderId="0" xfId="0" applyNumberFormat="1" applyFont="1" applyAlignment="1" applyProtection="1">
      <alignment/>
      <protection hidden="1"/>
    </xf>
    <xf numFmtId="164" fontId="3" fillId="0" borderId="0" xfId="0" applyNumberFormat="1" applyFont="1" applyBorder="1" applyAlignment="1" applyProtection="1">
      <alignment horizontal="right" vertical="center"/>
      <protection hidden="1"/>
    </xf>
    <xf numFmtId="166" fontId="49" fillId="0" borderId="0" xfId="0" applyNumberFormat="1" applyFont="1" applyBorder="1" applyAlignment="1" applyProtection="1">
      <alignment horizontal="center" vertical="center"/>
      <protection hidden="1"/>
    </xf>
    <xf numFmtId="2" fontId="4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4" fontId="49" fillId="0" borderId="12" xfId="0" applyNumberFormat="1" applyFont="1" applyFill="1" applyBorder="1" applyAlignment="1" applyProtection="1">
      <alignment horizontal="center"/>
      <protection hidden="1"/>
    </xf>
    <xf numFmtId="2" fontId="49" fillId="0" borderId="12" xfId="0" applyNumberFormat="1" applyFont="1" applyFill="1" applyBorder="1" applyAlignment="1" applyProtection="1">
      <alignment horizontal="center"/>
      <protection hidden="1"/>
    </xf>
    <xf numFmtId="2" fontId="49" fillId="0" borderId="12" xfId="0" applyNumberFormat="1" applyFont="1" applyBorder="1" applyAlignment="1" applyProtection="1">
      <alignment horizontal="center"/>
      <protection hidden="1"/>
    </xf>
    <xf numFmtId="0" fontId="49" fillId="0" borderId="12" xfId="0" applyFont="1" applyFill="1" applyBorder="1" applyAlignment="1" applyProtection="1">
      <alignment horizontal="center"/>
      <protection hidden="1"/>
    </xf>
    <xf numFmtId="0" fontId="49" fillId="0" borderId="0" xfId="0" applyFont="1" applyAlignment="1">
      <alignment/>
    </xf>
    <xf numFmtId="167" fontId="3" fillId="0" borderId="13" xfId="0" applyNumberFormat="1" applyFont="1" applyBorder="1" applyAlignment="1" applyProtection="1">
      <alignment horizontal="right" vertical="center"/>
      <protection hidden="1"/>
    </xf>
    <xf numFmtId="167" fontId="3" fillId="0" borderId="14" xfId="0" applyNumberFormat="1" applyFont="1" applyBorder="1" applyAlignment="1" applyProtection="1">
      <alignment horizontal="right" vertical="center"/>
      <protection hidden="1"/>
    </xf>
    <xf numFmtId="0" fontId="49" fillId="0" borderId="12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167" fontId="3" fillId="0" borderId="18" xfId="0" applyNumberFormat="1" applyFont="1" applyBorder="1" applyAlignment="1" applyProtection="1">
      <alignment horizontal="right" vertical="center"/>
      <protection hidden="1"/>
    </xf>
    <xf numFmtId="164" fontId="3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2" fontId="49" fillId="0" borderId="20" xfId="0" applyNumberFormat="1" applyFont="1" applyBorder="1" applyAlignment="1" applyProtection="1">
      <alignment horizontal="center" vertical="center"/>
      <protection hidden="1"/>
    </xf>
    <xf numFmtId="2" fontId="49" fillId="0" borderId="2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9" fillId="0" borderId="22" xfId="0" applyFont="1" applyBorder="1" applyAlignment="1">
      <alignment/>
    </xf>
    <xf numFmtId="0" fontId="49" fillId="0" borderId="0" xfId="0" applyFont="1" applyFill="1" applyBorder="1" applyAlignment="1" applyProtection="1">
      <alignment/>
      <protection hidden="1"/>
    </xf>
    <xf numFmtId="2" fontId="49" fillId="0" borderId="16" xfId="0" applyNumberFormat="1" applyFont="1" applyBorder="1" applyAlignment="1" applyProtection="1">
      <alignment horizontal="center"/>
      <protection hidden="1"/>
    </xf>
    <xf numFmtId="164" fontId="5" fillId="7" borderId="12" xfId="52" applyNumberFormat="1" applyFont="1" applyFill="1" applyBorder="1" applyAlignment="1" applyProtection="1">
      <alignment horizont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2" fontId="49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2" fontId="49" fillId="0" borderId="23" xfId="0" applyNumberFormat="1" applyFont="1" applyBorder="1" applyAlignment="1" applyProtection="1">
      <alignment horizontal="center"/>
      <protection hidden="1"/>
    </xf>
    <xf numFmtId="2" fontId="49" fillId="0" borderId="24" xfId="0" applyNumberFormat="1" applyFont="1" applyBorder="1" applyAlignment="1" applyProtection="1">
      <alignment horizontal="center"/>
      <protection hidden="1"/>
    </xf>
    <xf numFmtId="167" fontId="49" fillId="0" borderId="23" xfId="0" applyNumberFormat="1" applyFont="1" applyBorder="1" applyAlignment="1" applyProtection="1">
      <alignment horizontal="center"/>
      <protection hidden="1"/>
    </xf>
    <xf numFmtId="167" fontId="49" fillId="0" borderId="24" xfId="0" applyNumberFormat="1" applyFont="1" applyBorder="1" applyAlignment="1" applyProtection="1">
      <alignment horizontal="center"/>
      <protection hidden="1"/>
    </xf>
    <xf numFmtId="2" fontId="49" fillId="7" borderId="11" xfId="0" applyNumberFormat="1" applyFont="1" applyFill="1" applyBorder="1" applyAlignment="1" applyProtection="1">
      <alignment horizontal="center" wrapText="1"/>
      <protection hidden="1" locked="0"/>
    </xf>
    <xf numFmtId="2" fontId="49" fillId="7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49" fillId="33" borderId="11" xfId="0" applyNumberFormat="1" applyFont="1" applyFill="1" applyBorder="1" applyAlignment="1" applyProtection="1">
      <alignment horizontal="center" wrapText="1"/>
      <protection hidden="1" locked="0"/>
    </xf>
    <xf numFmtId="164" fontId="10" fillId="0" borderId="11" xfId="0" applyNumberFormat="1" applyFont="1" applyBorder="1" applyAlignment="1" applyProtection="1">
      <alignment horizontal="center" vertical="center"/>
      <protection hidden="1" locked="0"/>
    </xf>
    <xf numFmtId="164" fontId="10" fillId="0" borderId="12" xfId="0" applyNumberFormat="1" applyFont="1" applyBorder="1" applyAlignment="1" applyProtection="1">
      <alignment horizontal="center" vertical="center"/>
      <protection hidden="1" locked="0"/>
    </xf>
    <xf numFmtId="164" fontId="10" fillId="0" borderId="11" xfId="0" applyNumberFormat="1" applyFont="1" applyBorder="1" applyAlignment="1" applyProtection="1">
      <alignment horizontal="center"/>
      <protection hidden="1" locked="0"/>
    </xf>
    <xf numFmtId="164" fontId="10" fillId="0" borderId="12" xfId="0" applyNumberFormat="1" applyFont="1" applyBorder="1" applyAlignment="1" applyProtection="1">
      <alignment horizontal="center"/>
      <protection hidden="1" locked="0"/>
    </xf>
    <xf numFmtId="164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167" fontId="49" fillId="0" borderId="0" xfId="0" applyNumberFormat="1" applyFont="1" applyBorder="1" applyAlignment="1" applyProtection="1">
      <alignment horizontal="center" vertical="center"/>
      <protection hidden="1"/>
    </xf>
    <xf numFmtId="167" fontId="49" fillId="0" borderId="23" xfId="0" applyNumberFormat="1" applyFont="1" applyBorder="1" applyAlignment="1" applyProtection="1">
      <alignment horizontal="center" vertical="center"/>
      <protection hidden="1"/>
    </xf>
    <xf numFmtId="167" fontId="49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3" fillId="0" borderId="26" xfId="0" applyFont="1" applyBorder="1" applyAlignment="1" applyProtection="1">
      <alignment horizontal="center" vertical="top" wrapText="1"/>
      <protection hidden="1"/>
    </xf>
    <xf numFmtId="2" fontId="49" fillId="0" borderId="15" xfId="0" applyNumberFormat="1" applyFont="1" applyBorder="1" applyAlignment="1" applyProtection="1">
      <alignment horizontal="center" vertical="center"/>
      <protection hidden="1"/>
    </xf>
    <xf numFmtId="2" fontId="49" fillId="0" borderId="17" xfId="0" applyNumberFormat="1" applyFont="1" applyBorder="1" applyAlignment="1" applyProtection="1">
      <alignment horizontal="center" vertical="center"/>
      <protection hidden="1"/>
    </xf>
    <xf numFmtId="169" fontId="49" fillId="0" borderId="27" xfId="0" applyNumberFormat="1" applyFont="1" applyBorder="1" applyAlignment="1" applyProtection="1">
      <alignment horizontal="left" vertical="center"/>
      <protection hidden="1"/>
    </xf>
    <xf numFmtId="169" fontId="49" fillId="0" borderId="28" xfId="0" applyNumberFormat="1" applyFont="1" applyBorder="1" applyAlignment="1" applyProtection="1">
      <alignment horizontal="left" vertical="center"/>
      <protection hidden="1"/>
    </xf>
    <xf numFmtId="0" fontId="50" fillId="7" borderId="15" xfId="0" applyFont="1" applyFill="1" applyBorder="1" applyAlignment="1" applyProtection="1">
      <alignment horizontal="center" vertical="center" wrapText="1"/>
      <protection hidden="1" locked="0"/>
    </xf>
    <xf numFmtId="0" fontId="50" fillId="7" borderId="10" xfId="0" applyFont="1" applyFill="1" applyBorder="1" applyAlignment="1" applyProtection="1">
      <alignment horizontal="center" vertical="center" wrapText="1"/>
      <protection hidden="1" locked="0"/>
    </xf>
    <xf numFmtId="0" fontId="50" fillId="7" borderId="17" xfId="0" applyFont="1" applyFill="1" applyBorder="1" applyAlignment="1" applyProtection="1">
      <alignment horizontal="center" vertical="center" wrapText="1"/>
      <protection hidden="1" locked="0"/>
    </xf>
    <xf numFmtId="0" fontId="50" fillId="7" borderId="19" xfId="0" applyFont="1" applyFill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49" fontId="51" fillId="7" borderId="16" xfId="0" applyNumberFormat="1" applyFont="1" applyFill="1" applyBorder="1" applyAlignment="1" applyProtection="1">
      <alignment horizontal="left"/>
      <protection hidden="1" locked="0"/>
    </xf>
    <xf numFmtId="49" fontId="51" fillId="7" borderId="14" xfId="0" applyNumberFormat="1" applyFont="1" applyFill="1" applyBorder="1" applyAlignment="1" applyProtection="1">
      <alignment horizontal="left"/>
      <protection hidden="1" locked="0"/>
    </xf>
    <xf numFmtId="49" fontId="49" fillId="7" borderId="14" xfId="0" applyNumberFormat="1" applyFont="1" applyFill="1" applyBorder="1" applyAlignment="1" applyProtection="1">
      <alignment horizontal="left"/>
      <protection hidden="1" locked="0"/>
    </xf>
    <xf numFmtId="49" fontId="49" fillId="7" borderId="11" xfId="0" applyNumberFormat="1" applyFont="1" applyFill="1" applyBorder="1" applyAlignment="1" applyProtection="1">
      <alignment horizontal="left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49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49" fillId="0" borderId="12" xfId="0" applyFont="1" applyBorder="1" applyAlignment="1" applyProtection="1">
      <alignment/>
      <protection hidden="1"/>
    </xf>
    <xf numFmtId="0" fontId="49" fillId="7" borderId="15" xfId="0" applyFont="1" applyFill="1" applyBorder="1" applyAlignment="1" applyProtection="1">
      <alignment horizontal="left" vertical="center" wrapText="1"/>
      <protection hidden="1" locked="0"/>
    </xf>
    <xf numFmtId="0" fontId="49" fillId="7" borderId="10" xfId="0" applyFont="1" applyFill="1" applyBorder="1" applyAlignment="1" applyProtection="1">
      <alignment horizontal="left" vertical="center" wrapText="1"/>
      <protection hidden="1" locked="0"/>
    </xf>
    <xf numFmtId="0" fontId="49" fillId="7" borderId="17" xfId="0" applyFont="1" applyFill="1" applyBorder="1" applyAlignment="1" applyProtection="1">
      <alignment horizontal="left" vertical="center" wrapText="1"/>
      <protection hidden="1" locked="0"/>
    </xf>
    <xf numFmtId="0" fontId="49" fillId="7" borderId="19" xfId="0" applyFont="1" applyFill="1" applyBorder="1" applyAlignment="1" applyProtection="1">
      <alignment horizontal="left" vertical="center" wrapText="1"/>
      <protection hidden="1" locked="0"/>
    </xf>
    <xf numFmtId="0" fontId="49" fillId="0" borderId="20" xfId="0" applyFont="1" applyBorder="1" applyAlignment="1" applyProtection="1">
      <alignment horizontal="center" vertical="center"/>
      <protection hidden="1" locked="0"/>
    </xf>
    <xf numFmtId="0" fontId="49" fillId="0" borderId="2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/>
    </xf>
    <xf numFmtId="10" fontId="5" fillId="0" borderId="20" xfId="0" applyNumberFormat="1" applyFont="1" applyFill="1" applyBorder="1" applyAlignment="1" applyProtection="1">
      <alignment horizontal="center" vertical="center"/>
      <protection hidden="1"/>
    </xf>
    <xf numFmtId="10" fontId="49" fillId="0" borderId="21" xfId="0" applyNumberFormat="1" applyFont="1" applyBorder="1" applyAlignment="1" applyProtection="1">
      <alignment horizontal="center" vertical="center"/>
      <protection hidden="1"/>
    </xf>
    <xf numFmtId="167" fontId="49" fillId="0" borderId="29" xfId="0" applyNumberFormat="1" applyFont="1" applyBorder="1" applyAlignment="1" applyProtection="1">
      <alignment horizontal="right" vertical="center"/>
      <protection hidden="1"/>
    </xf>
    <xf numFmtId="167" fontId="49" fillId="0" borderId="30" xfId="0" applyNumberFormat="1" applyFont="1" applyBorder="1" applyAlignment="1" applyProtection="1">
      <alignment horizontal="right" vertical="center"/>
      <protection hidden="1"/>
    </xf>
    <xf numFmtId="2" fontId="49" fillId="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7" borderId="19" xfId="0" applyFont="1" applyFill="1" applyBorder="1" applyAlignment="1" applyProtection="1">
      <alignment horizontal="center" vertical="center" wrapText="1"/>
      <protection hidden="1" locked="0"/>
    </xf>
    <xf numFmtId="0" fontId="49" fillId="0" borderId="20" xfId="0" applyFont="1" applyFill="1" applyBorder="1" applyAlignment="1" applyProtection="1">
      <alignment horizontal="center" vertical="center"/>
      <protection hidden="1"/>
    </xf>
    <xf numFmtId="0" fontId="49" fillId="0" borderId="21" xfId="0" applyFont="1" applyBorder="1" applyAlignment="1" applyProtection="1">
      <alignment horizontal="center" vertical="center"/>
      <protection hidden="1"/>
    </xf>
    <xf numFmtId="167" fontId="49" fillId="0" borderId="31" xfId="0" applyNumberFormat="1" applyFont="1" applyBorder="1" applyAlignment="1" applyProtection="1">
      <alignment horizontal="right" vertical="center"/>
      <protection hidden="1"/>
    </xf>
    <xf numFmtId="169" fontId="49" fillId="0" borderId="32" xfId="0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875"/>
          <c:w val="0.867"/>
          <c:h val="0.838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Лист1!$B$10:$B$13</c:f>
              <c:numCache/>
            </c:numRef>
          </c:xVal>
          <c:yVal>
            <c:numRef>
              <c:f>Лист1!$I$10:$I$13</c:f>
              <c:numCache/>
            </c:numRef>
          </c:yVal>
          <c:smooth val="0"/>
        </c:ser>
        <c:axId val="53696346"/>
        <c:axId val="13505067"/>
      </c:scatterChart>
      <c:valAx>
        <c:axId val="53696346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Массовая доля зеараленона, мкг/кг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505067"/>
        <c:crosses val="autoZero"/>
        <c:crossBetween val="midCat"/>
        <c:dispUnits/>
      </c:valAx>
      <c:valAx>
        <c:axId val="135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Log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At val="0.1"/>
        <c:crossBetween val="midCat"/>
        <c:dispUnits/>
        <c:maj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104775</xdr:rowOff>
    </xdr:from>
    <xdr:to>
      <xdr:col>14</xdr:col>
      <xdr:colOff>1752600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7686675" y="104775"/>
        <a:ext cx="5819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80" zoomScaleNormal="80" zoomScalePageLayoutView="0" workbookViewId="0" topLeftCell="A1">
      <selection activeCell="Y18" sqref="Y18"/>
    </sheetView>
  </sheetViews>
  <sheetFormatPr defaultColWidth="9.140625" defaultRowHeight="15"/>
  <cols>
    <col min="1" max="1" width="3.421875" style="30" customWidth="1"/>
    <col min="2" max="2" width="11.421875" style="30" customWidth="1"/>
    <col min="3" max="3" width="16.421875" style="30" customWidth="1"/>
    <col min="4" max="10" width="13.57421875" style="30" customWidth="1"/>
    <col min="11" max="11" width="13.57421875" style="30" hidden="1" customWidth="1"/>
    <col min="12" max="12" width="22.8515625" style="30" customWidth="1"/>
    <col min="13" max="14" width="13.57421875" style="30" customWidth="1"/>
    <col min="15" max="15" width="28.57421875" style="30" customWidth="1"/>
    <col min="18" max="18" width="9.140625" style="0" hidden="1" customWidth="1"/>
    <col min="19" max="19" width="33.28125" style="0" hidden="1" customWidth="1"/>
    <col min="20" max="20" width="27.8515625" style="0" hidden="1" customWidth="1"/>
    <col min="21" max="21" width="48.8515625" style="0" hidden="1" customWidth="1"/>
  </cols>
  <sheetData>
    <row r="1" spans="1:15" ht="15.75">
      <c r="A1" s="6" t="s">
        <v>41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1" ht="15" customHeight="1">
      <c r="A2" s="8"/>
      <c r="B2" s="8"/>
      <c r="C2" s="9"/>
      <c r="D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S2" s="45" t="s">
        <v>26</v>
      </c>
      <c r="T2" s="46" t="s">
        <v>27</v>
      </c>
      <c r="U2" s="46" t="s">
        <v>28</v>
      </c>
    </row>
    <row r="3" spans="1:18" ht="15">
      <c r="A3" s="91" t="s">
        <v>0</v>
      </c>
      <c r="B3" s="92"/>
      <c r="C3" s="85"/>
      <c r="D3" s="86"/>
      <c r="E3" s="86"/>
      <c r="F3" s="87"/>
      <c r="G3" s="87"/>
      <c r="H3" s="88"/>
      <c r="I3" s="48"/>
      <c r="J3" s="8"/>
      <c r="K3" s="8"/>
      <c r="L3" s="8"/>
      <c r="M3" s="8"/>
      <c r="N3" s="8"/>
      <c r="O3" s="8"/>
      <c r="R3">
        <v>1</v>
      </c>
    </row>
    <row r="4" spans="1:21" ht="15">
      <c r="A4" s="91" t="s">
        <v>1</v>
      </c>
      <c r="B4" s="92"/>
      <c r="C4" s="85"/>
      <c r="D4" s="86"/>
      <c r="E4" s="86"/>
      <c r="F4" s="87"/>
      <c r="G4" s="87"/>
      <c r="H4" s="88"/>
      <c r="I4" s="48"/>
      <c r="J4" s="8"/>
      <c r="K4" s="8"/>
      <c r="L4" s="8"/>
      <c r="M4" s="8"/>
      <c r="N4" s="8"/>
      <c r="O4" s="8"/>
      <c r="R4">
        <v>2</v>
      </c>
      <c r="S4" t="s">
        <v>29</v>
      </c>
      <c r="T4">
        <v>22.1</v>
      </c>
      <c r="U4">
        <v>20</v>
      </c>
    </row>
    <row r="5" spans="1:21" ht="15">
      <c r="A5" s="91" t="s">
        <v>2</v>
      </c>
      <c r="B5" s="92"/>
      <c r="C5" s="85"/>
      <c r="D5" s="86"/>
      <c r="E5" s="86"/>
      <c r="F5" s="87"/>
      <c r="G5" s="87"/>
      <c r="H5" s="88"/>
      <c r="I5" s="48"/>
      <c r="J5" s="8"/>
      <c r="K5" s="8"/>
      <c r="L5" s="8"/>
      <c r="M5" s="8"/>
      <c r="N5" s="8"/>
      <c r="O5" s="8"/>
      <c r="R5">
        <v>3</v>
      </c>
      <c r="S5" t="s">
        <v>39</v>
      </c>
      <c r="T5">
        <v>22.1</v>
      </c>
      <c r="U5">
        <v>20</v>
      </c>
    </row>
    <row r="6" spans="1:21" ht="15">
      <c r="A6" s="93"/>
      <c r="B6" s="92"/>
      <c r="C6" s="85"/>
      <c r="D6" s="86"/>
      <c r="E6" s="86"/>
      <c r="F6" s="87"/>
      <c r="G6" s="87"/>
      <c r="H6" s="88"/>
      <c r="I6" s="48"/>
      <c r="J6" s="8"/>
      <c r="K6" s="8"/>
      <c r="L6" s="8"/>
      <c r="M6" s="8"/>
      <c r="N6" s="8"/>
      <c r="O6" s="8"/>
      <c r="R6">
        <v>4</v>
      </c>
      <c r="S6" t="s">
        <v>30</v>
      </c>
      <c r="T6">
        <v>22.1</v>
      </c>
      <c r="U6">
        <v>20</v>
      </c>
    </row>
    <row r="7" spans="1:21" ht="15.75">
      <c r="A7" s="10" t="s">
        <v>3</v>
      </c>
      <c r="B7" s="11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R7">
        <v>5</v>
      </c>
      <c r="S7" t="s">
        <v>31</v>
      </c>
      <c r="T7">
        <v>22.1</v>
      </c>
      <c r="U7">
        <v>20</v>
      </c>
    </row>
    <row r="8" spans="1:21" ht="15">
      <c r="A8" s="89" t="s">
        <v>16</v>
      </c>
      <c r="B8" s="90"/>
      <c r="C8" s="90"/>
      <c r="D8" s="80" t="s">
        <v>23</v>
      </c>
      <c r="E8" s="81"/>
      <c r="F8" s="24" t="s">
        <v>17</v>
      </c>
      <c r="G8" s="24" t="s">
        <v>4</v>
      </c>
      <c r="H8" s="24" t="s">
        <v>5</v>
      </c>
      <c r="I8" s="24" t="s">
        <v>18</v>
      </c>
      <c r="J8" s="47"/>
      <c r="K8" s="43"/>
      <c r="L8" s="43"/>
      <c r="N8" s="43"/>
      <c r="O8" s="12"/>
      <c r="R8">
        <v>6</v>
      </c>
      <c r="S8" t="s">
        <v>32</v>
      </c>
      <c r="T8">
        <v>22.1</v>
      </c>
      <c r="U8">
        <v>20</v>
      </c>
    </row>
    <row r="9" spans="1:21" ht="15">
      <c r="A9" s="34" t="s">
        <v>6</v>
      </c>
      <c r="B9" s="31">
        <v>0</v>
      </c>
      <c r="C9" s="1" t="s">
        <v>21</v>
      </c>
      <c r="D9" s="61">
        <v>2.123</v>
      </c>
      <c r="E9" s="62">
        <v>2.093</v>
      </c>
      <c r="F9" s="14">
        <f>(AVERAGE(D9:E9)/AVERAGE($D$9:$E$9))</f>
        <v>1</v>
      </c>
      <c r="G9" s="13">
        <f>IF(OR(D9="",E9=""),"",IF(D9=E9,"0,00%",STDEV(D9:E9)/AVERAGE(D9:E9)))</f>
        <v>0.010063189485577134</v>
      </c>
      <c r="H9" s="15"/>
      <c r="I9" s="35"/>
      <c r="J9" s="47"/>
      <c r="K9" s="22"/>
      <c r="L9" s="22"/>
      <c r="N9" s="44"/>
      <c r="O9" s="12"/>
      <c r="R9">
        <v>7</v>
      </c>
      <c r="S9" t="s">
        <v>34</v>
      </c>
      <c r="T9">
        <v>24.4</v>
      </c>
      <c r="U9">
        <v>30</v>
      </c>
    </row>
    <row r="10" spans="1:21" ht="15">
      <c r="A10" s="36" t="s">
        <v>7</v>
      </c>
      <c r="B10" s="32">
        <v>20</v>
      </c>
      <c r="C10" s="1" t="s">
        <v>21</v>
      </c>
      <c r="D10" s="63">
        <v>1.875</v>
      </c>
      <c r="E10" s="64">
        <v>1.844</v>
      </c>
      <c r="F10" s="14">
        <f>(AVERAGE(D10:E10)/AVERAGE($D$9:$E$9))</f>
        <v>0.8821157495256168</v>
      </c>
      <c r="G10" s="13">
        <f>IF(OR(D10="",E10=""),"",IF(D10=E10,"0,00%",STDEV(D10:E10)/AVERAGE(D10:E10)))</f>
        <v>0.01178828191276306</v>
      </c>
      <c r="H10" s="15">
        <f>LOG(B10)</f>
        <v>1.3010299956639813</v>
      </c>
      <c r="I10" s="15">
        <f>IF($E$13="","",LOG((F10/(1-F10))))</f>
        <v>0.8740697896256409</v>
      </c>
      <c r="J10" s="47"/>
      <c r="K10" s="22"/>
      <c r="L10" s="22"/>
      <c r="N10" s="22"/>
      <c r="O10" s="16"/>
      <c r="R10">
        <v>8</v>
      </c>
      <c r="S10" t="s">
        <v>40</v>
      </c>
      <c r="T10">
        <v>24.4</v>
      </c>
      <c r="U10">
        <v>30</v>
      </c>
    </row>
    <row r="11" spans="1:21" ht="15">
      <c r="A11" s="36" t="s">
        <v>8</v>
      </c>
      <c r="B11" s="32">
        <v>50</v>
      </c>
      <c r="C11" s="1" t="s">
        <v>21</v>
      </c>
      <c r="D11" s="61">
        <v>1.411</v>
      </c>
      <c r="E11" s="62">
        <v>1.404</v>
      </c>
      <c r="F11" s="14">
        <f>(AVERAGE(D11:E11)/AVERAGE($D$9:$E$9))</f>
        <v>0.6676944971537001</v>
      </c>
      <c r="G11" s="13">
        <f>IF(OR(D11="",E11=""),"",IF(D11=E11,"0,00%",STDEV(D11:E11)/AVERAGE(D11:E11)))</f>
        <v>0.0035166944712653045</v>
      </c>
      <c r="H11" s="15">
        <f>LOG(B11)</f>
        <v>1.6989700043360187</v>
      </c>
      <c r="I11" s="15">
        <f>IF($E$13="","",LOG((F11/(1-F11))))</f>
        <v>0.3030402639015903</v>
      </c>
      <c r="J11" s="47"/>
      <c r="K11" s="22"/>
      <c r="L11" s="22"/>
      <c r="N11" s="22"/>
      <c r="O11" s="16"/>
      <c r="R11">
        <v>9</v>
      </c>
      <c r="S11" t="s">
        <v>33</v>
      </c>
      <c r="T11">
        <v>24.4</v>
      </c>
      <c r="U11">
        <v>30</v>
      </c>
    </row>
    <row r="12" spans="1:21" ht="15">
      <c r="A12" s="36" t="s">
        <v>9</v>
      </c>
      <c r="B12" s="32">
        <v>150</v>
      </c>
      <c r="C12" s="2" t="s">
        <v>21</v>
      </c>
      <c r="D12" s="61">
        <v>0.532</v>
      </c>
      <c r="E12" s="62">
        <v>0.501</v>
      </c>
      <c r="F12" s="14">
        <f>(AVERAGE(D12:E12)/AVERAGE($D$9:$E$9))</f>
        <v>0.2450189753320683</v>
      </c>
      <c r="G12" s="13">
        <f>IF(OR(D12="",E12=""),"",IF(D12=E12,"0,00%",STDEV(D12:E12)/AVERAGE(D12:E12)))</f>
        <v>0.04244009722513648</v>
      </c>
      <c r="H12" s="15">
        <f>LOG(B12)</f>
        <v>2.1760912590556813</v>
      </c>
      <c r="I12" s="15">
        <f>IF($E$13="","",LOG((F12/(1-F12))))</f>
        <v>-0.4887363171013826</v>
      </c>
      <c r="J12" s="47"/>
      <c r="K12" s="22"/>
      <c r="L12" s="22"/>
      <c r="N12" s="22"/>
      <c r="O12" s="16"/>
      <c r="R12">
        <v>10</v>
      </c>
      <c r="S12" t="s">
        <v>35</v>
      </c>
      <c r="T12">
        <v>24.4</v>
      </c>
      <c r="U12">
        <v>30</v>
      </c>
    </row>
    <row r="13" spans="1:15" ht="15">
      <c r="A13" s="37" t="s">
        <v>22</v>
      </c>
      <c r="B13" s="38">
        <v>450</v>
      </c>
      <c r="C13" s="39" t="s">
        <v>21</v>
      </c>
      <c r="D13" s="65">
        <v>0.164</v>
      </c>
      <c r="E13" s="66">
        <v>0.187</v>
      </c>
      <c r="F13" s="14">
        <f>(AVERAGE(D13:E13)/AVERAGE($D$9:$E$9))</f>
        <v>0.08325426944971537</v>
      </c>
      <c r="G13" s="13">
        <f>IF(OR(D13="",E13=""),"",IF(D13=E13,"0,00%",STDEV(D13:E13)/AVERAGE(D13:E13)))</f>
        <v>0.09266926477088655</v>
      </c>
      <c r="H13" s="15">
        <f>LOG(B13)</f>
        <v>2.6532125137753435</v>
      </c>
      <c r="I13" s="15">
        <f>IF($E$13="","",LOG((F13/(1-F13))))</f>
        <v>-1.0418423817885196</v>
      </c>
      <c r="J13" s="47"/>
      <c r="K13" s="22"/>
      <c r="L13" s="22"/>
      <c r="N13" s="22"/>
      <c r="O13" s="16"/>
    </row>
    <row r="14" spans="1:15" ht="15">
      <c r="A14" s="8"/>
      <c r="B14" s="8"/>
      <c r="C14" s="8"/>
      <c r="D14" s="8"/>
      <c r="E14" s="8"/>
      <c r="F14" s="8"/>
      <c r="G14" s="17"/>
      <c r="H14" s="8"/>
      <c r="I14" s="8"/>
      <c r="J14" s="18"/>
      <c r="K14" s="18"/>
      <c r="L14" s="18"/>
      <c r="M14" s="8"/>
      <c r="N14" s="8"/>
      <c r="O14" s="18"/>
    </row>
    <row r="15" spans="1:15" ht="15">
      <c r="A15" s="8"/>
      <c r="B15" s="8"/>
      <c r="C15" s="8"/>
      <c r="D15" s="8"/>
      <c r="E15" s="8"/>
      <c r="F15" s="8"/>
      <c r="G15" s="20" t="s">
        <v>19</v>
      </c>
      <c r="H15" s="21">
        <f>IF(E13="","",CORREL(I10:I13,H10:H13))</f>
        <v>-0.9975954502662591</v>
      </c>
      <c r="I15" s="12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40" t="s">
        <v>10</v>
      </c>
      <c r="H16" s="67">
        <f>IF(E13="","",10^(-INTERCEPT(I10:I13,H10:H13)/SLOPE(I10:I13,H10:H13)))</f>
        <v>78.706716873898</v>
      </c>
      <c r="I16" s="3" t="s">
        <v>21</v>
      </c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9"/>
    </row>
    <row r="18" spans="1:15" ht="16.5" thickBot="1">
      <c r="A18" s="6" t="s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40.5" customHeight="1">
      <c r="A19" s="23" t="s">
        <v>11</v>
      </c>
      <c r="B19" s="100" t="s">
        <v>12</v>
      </c>
      <c r="C19" s="100"/>
      <c r="D19" s="80" t="s">
        <v>25</v>
      </c>
      <c r="E19" s="82"/>
      <c r="F19" s="4" t="s">
        <v>13</v>
      </c>
      <c r="G19" s="4" t="s">
        <v>14</v>
      </c>
      <c r="H19" s="24" t="s">
        <v>20</v>
      </c>
      <c r="I19" s="4" t="s">
        <v>4</v>
      </c>
      <c r="J19" s="24" t="s">
        <v>24</v>
      </c>
      <c r="K19" s="24"/>
      <c r="L19" s="51" t="s">
        <v>36</v>
      </c>
      <c r="M19" s="70" t="s">
        <v>37</v>
      </c>
      <c r="N19" s="71"/>
      <c r="O19" s="53" t="s">
        <v>15</v>
      </c>
    </row>
    <row r="20" spans="1:15" ht="15">
      <c r="A20" s="5" t="s">
        <v>6</v>
      </c>
      <c r="B20" s="93" t="s">
        <v>16</v>
      </c>
      <c r="C20" s="93"/>
      <c r="D20" s="83"/>
      <c r="E20" s="84"/>
      <c r="F20" s="25"/>
      <c r="G20" s="26">
        <f>AVERAGE(D9:E9)</f>
        <v>2.108</v>
      </c>
      <c r="H20" s="27"/>
      <c r="I20" s="27"/>
      <c r="J20" s="28"/>
      <c r="K20" s="28"/>
      <c r="L20" s="49"/>
      <c r="M20" s="54"/>
      <c r="N20" s="55"/>
      <c r="O20" s="58"/>
    </row>
    <row r="21" spans="1:15" ht="15">
      <c r="A21" s="5" t="s">
        <v>7</v>
      </c>
      <c r="B21" s="93" t="s">
        <v>16</v>
      </c>
      <c r="C21" s="93"/>
      <c r="D21" s="83"/>
      <c r="E21" s="84"/>
      <c r="F21" s="25"/>
      <c r="G21" s="26">
        <f>AVERAGE(D10:E10)</f>
        <v>1.8595000000000002</v>
      </c>
      <c r="H21" s="27">
        <f>IF(G21="","",LOG(((G21/G$20)/(1-(G21/G$20)))))</f>
        <v>0.8740697896256409</v>
      </c>
      <c r="I21" s="27"/>
      <c r="J21" s="15">
        <f>ROUND(10^((H21-INTERCEPT($I$10:$I$13,$H$10:$H$13))/SLOPE($I$10:$I$13,$H$10:$H$13)),2)</f>
        <v>19.48</v>
      </c>
      <c r="K21" s="15"/>
      <c r="L21" s="52"/>
      <c r="M21" s="68">
        <f>ROUND(J21,1)</f>
        <v>19.5</v>
      </c>
      <c r="N21" s="69"/>
      <c r="O21" s="59"/>
    </row>
    <row r="22" spans="1:15" ht="15">
      <c r="A22" s="5" t="s">
        <v>8</v>
      </c>
      <c r="B22" s="93" t="s">
        <v>16</v>
      </c>
      <c r="C22" s="93"/>
      <c r="D22" s="83"/>
      <c r="E22" s="84"/>
      <c r="F22" s="25"/>
      <c r="G22" s="26">
        <f>AVERAGE(D11:E11)</f>
        <v>1.4075</v>
      </c>
      <c r="H22" s="27">
        <f>IF(G22="","",LOG(((G22/G$20)/(1-(G22/G$20)))))</f>
        <v>0.3030402639015903</v>
      </c>
      <c r="I22" s="27"/>
      <c r="J22" s="15">
        <f>ROUND(10^((H22-INTERCEPT($I$10:$I$13,$H$10:$H$13))/SLOPE($I$10:$I$13,$H$10:$H$13)),2)</f>
        <v>48.5</v>
      </c>
      <c r="K22" s="15"/>
      <c r="L22" s="52"/>
      <c r="M22" s="68">
        <f>ROUND(J22,1)</f>
        <v>48.5</v>
      </c>
      <c r="N22" s="69"/>
      <c r="O22" s="59"/>
    </row>
    <row r="23" spans="1:15" ht="15">
      <c r="A23" s="5" t="s">
        <v>9</v>
      </c>
      <c r="B23" s="93" t="s">
        <v>16</v>
      </c>
      <c r="C23" s="93"/>
      <c r="D23" s="83"/>
      <c r="E23" s="84"/>
      <c r="F23" s="25"/>
      <c r="G23" s="26">
        <f>AVERAGE(D12:E12)</f>
        <v>0.5165</v>
      </c>
      <c r="H23" s="27">
        <f>IF(G23="","",LOG(((G23/G$20)/(1-(G23/G$20)))))</f>
        <v>-0.4887363171013826</v>
      </c>
      <c r="I23" s="27"/>
      <c r="J23" s="15">
        <f>ROUND(10^((H23-INTERCEPT($I$10:$I$13,$H$10:$H$13))/SLOPE($I$10:$I$13,$H$10:$H$13)),2)</f>
        <v>171.84</v>
      </c>
      <c r="K23" s="15"/>
      <c r="L23" s="52"/>
      <c r="M23" s="68">
        <f>ROUND(J23,1)</f>
        <v>171.8</v>
      </c>
      <c r="N23" s="69"/>
      <c r="O23" s="59"/>
    </row>
    <row r="24" spans="1:15" ht="15">
      <c r="A24" s="5" t="s">
        <v>22</v>
      </c>
      <c r="B24" s="93" t="s">
        <v>16</v>
      </c>
      <c r="C24" s="93"/>
      <c r="D24" s="83"/>
      <c r="E24" s="84"/>
      <c r="F24" s="25"/>
      <c r="G24" s="26">
        <f>AVERAGE(D13:E13)</f>
        <v>0.1755</v>
      </c>
      <c r="H24" s="27">
        <f>IF(G24="","",LOG(((G24/G$20)/(1-(G24/G$20)))))</f>
        <v>-1.0418423817885196</v>
      </c>
      <c r="I24" s="27"/>
      <c r="J24" s="15">
        <f>ROUND(10^((H24-INTERCEPT($I$10:$I$13,$H$10:$H$13))/SLOPE($I$10:$I$13,$H$10:$H$13)),2)</f>
        <v>415.82</v>
      </c>
      <c r="K24" s="15"/>
      <c r="L24" s="52"/>
      <c r="M24" s="68">
        <f>ROUND(J24,1)</f>
        <v>415.8</v>
      </c>
      <c r="N24" s="69"/>
      <c r="O24" s="59"/>
    </row>
    <row r="25" spans="1:15" ht="15">
      <c r="A25" s="5"/>
      <c r="B25" s="93"/>
      <c r="C25" s="93"/>
      <c r="D25" s="83"/>
      <c r="E25" s="84"/>
      <c r="F25" s="33"/>
      <c r="G25" s="29"/>
      <c r="H25" s="27"/>
      <c r="I25" s="27"/>
      <c r="J25" s="28"/>
      <c r="K25" s="28"/>
      <c r="L25" s="49"/>
      <c r="M25" s="56"/>
      <c r="N25" s="57"/>
      <c r="O25" s="60"/>
    </row>
    <row r="26" spans="1:15" ht="15">
      <c r="A26" s="107">
        <v>1</v>
      </c>
      <c r="B26" s="94"/>
      <c r="C26" s="95"/>
      <c r="D26" s="76">
        <v>1</v>
      </c>
      <c r="E26" s="77"/>
      <c r="F26" s="98">
        <v>1</v>
      </c>
      <c r="G26" s="50"/>
      <c r="H26" s="27">
        <f aca="true" t="shared" si="0" ref="H26:H65">IF(G26="","",LOG(((G26/G$20)/(1-(G26/G$20)))))</f>
      </c>
      <c r="I26" s="101">
        <f>IF(OR(G27="",G26=""),"",STDEV(G26:G27)/AVERAGE(G26:G27))</f>
      </c>
      <c r="J26" s="15">
        <f>IF(G26="","",IF($G$20/G26&lt;1,"менее "&amp;$B$10,IF(10^((H26-INTERCEPT($I$10:$I$13,$H$10:$H$13))/SLOPE($I$10:$I$13,$H$10:$H$13))&gt;$B$13,"более "&amp;$B$13,IF(10^((H26-INTERCEPT($I$10:$I$13,$H$10:$H$13))/SLOPE($I$10:$I$13,$H$10:$H$13))&lt;$B$10,"менее "&amp;$B$10,ROUND(10^((H26-INTERCEPT($I$10:$I$13,$H$10:$H$13))/SLOPE($I$10:$I$13,$H$10:$H$13))*F26,2)))))</f>
      </c>
      <c r="K26" s="41" t="e">
        <f>ABS(J26-J27)</f>
        <v>#VALUE!</v>
      </c>
      <c r="L26" s="72">
        <f>IF(M26="","",IF(M26="более "&amp;$B$13,"",IF(M26="менее "&amp;$B$10,"",IF(0.01*M26*K27&gt;K26,"приемлемо","неприемлемо"))))</f>
      </c>
      <c r="M26" s="103">
        <f>IF(OR(J26="",J27=""),"",IF(OR(J26="менее "&amp;$B$10,J27="менее "&amp;$B$10),"менее "&amp;$B$10,IF(OR(J26="более "&amp;$B$13,J27="более "&amp;$B$13),"более "&amp;$B$13,ROUND(AVERAGE(J26:J27),1))))</f>
      </c>
      <c r="N26" s="74">
        <f>IF(M26="","",IF(M26="более "&amp;$B$13,"",IF(M26="менее "&amp;$B$10,"",0.01*M26*VLOOKUP(D26,$R$4:$U$12,4,FALSE))))</f>
      </c>
      <c r="O26" s="105"/>
    </row>
    <row r="27" spans="1:15" ht="15">
      <c r="A27" s="108"/>
      <c r="B27" s="96"/>
      <c r="C27" s="97"/>
      <c r="D27" s="78"/>
      <c r="E27" s="79"/>
      <c r="F27" s="99"/>
      <c r="G27" s="50"/>
      <c r="H27" s="27">
        <f t="shared" si="0"/>
      </c>
      <c r="I27" s="102" t="str">
        <f aca="true" t="shared" si="1" ref="I27:I65">IF(G27=H27,"0,0%",STDEV(G27:H27)/AVERAGE(G27:H27))</f>
        <v>0,0%</v>
      </c>
      <c r="J27" s="15">
        <f>IF(G27="","",IF($G$20/G27&lt;1,"менее "&amp;$B$10,IF(10^((H27-INTERCEPT($I$10:$I$13,$H$10:$H$13))/SLOPE($I$10:$I$13,$H$10:$H$13))&gt;$B$13,"более "&amp;$B$13,IF(10^((H27-INTERCEPT($I$10:$I$13,$H$10:$H$13))/SLOPE($I$10:$I$13,$H$10:$H$13))&lt;$B$10,"менее "&amp;$B$10,ROUND(10^((H27-INTERCEPT($I$10:$I$13,$H$10:$H$13))/SLOPE($I$10:$I$13,$H$10:$H$13))*F26,2)))))</f>
      </c>
      <c r="K27" s="42" t="e">
        <f>VLOOKUP(D26,$R$4:$U$12,3,FALSE)</f>
        <v>#N/A</v>
      </c>
      <c r="L27" s="73"/>
      <c r="M27" s="104"/>
      <c r="N27" s="75"/>
      <c r="O27" s="106"/>
    </row>
    <row r="28" spans="1:15" ht="15">
      <c r="A28" s="107">
        <v>2</v>
      </c>
      <c r="B28" s="94"/>
      <c r="C28" s="95"/>
      <c r="D28" s="76">
        <v>1</v>
      </c>
      <c r="E28" s="77"/>
      <c r="F28" s="98">
        <v>1</v>
      </c>
      <c r="G28" s="50"/>
      <c r="H28" s="27">
        <f t="shared" si="0"/>
      </c>
      <c r="I28" s="101">
        <f>IF(OR(G29="",G28=""),"",STDEV(G28:G29)/AVERAGE(G28:G29))</f>
      </c>
      <c r="J28" s="15">
        <f>IF(G28="","",IF($G$20/G28&lt;1,"менее "&amp;$B$10,IF(10^((H28-INTERCEPT($I$10:$I$13,$H$10:$H$13))/SLOPE($I$10:$I$13,$H$10:$H$13))&gt;$B$13,"более "&amp;$B$13,IF(10^((H28-INTERCEPT($I$10:$I$13,$H$10:$H$13))/SLOPE($I$10:$I$13,$H$10:$H$13))&lt;$B$10,"менее "&amp;$B$10,ROUND(10^((H28-INTERCEPT($I$10:$I$13,$H$10:$H$13))/SLOPE($I$10:$I$13,$H$10:$H$13))*F28,2)))))</f>
      </c>
      <c r="K28" s="41" t="e">
        <f>ABS(J28-J29)</f>
        <v>#VALUE!</v>
      </c>
      <c r="L28" s="72">
        <f>IF(M28="","",IF(M28="более "&amp;$B$13,"",IF(M28="менее "&amp;$B$10,"",IF(0.01*M28*K29&gt;K28,"приемлемо","неприемлемо"))))</f>
      </c>
      <c r="M28" s="103">
        <f>IF(OR(J28="",J29=""),"",IF(OR(J28="менее "&amp;$B$10,J29="менее "&amp;$B$10),"менее "&amp;$B$10,IF(OR(J28="более "&amp;$B$13,J29="более "&amp;$B$13),"более "&amp;$B$13,ROUND(AVERAGE(J28:J29),1))))</f>
      </c>
      <c r="N28" s="74">
        <f>IF(M28="","",IF(M28="более "&amp;$B$13,"",IF(M28="менее "&amp;$B$10,"",0.01*M28*VLOOKUP(D28,$R$4:$U$12,4,FALSE))))</f>
      </c>
      <c r="O28" s="105"/>
    </row>
    <row r="29" spans="1:15" ht="15">
      <c r="A29" s="108"/>
      <c r="B29" s="96"/>
      <c r="C29" s="97"/>
      <c r="D29" s="78"/>
      <c r="E29" s="79"/>
      <c r="F29" s="99"/>
      <c r="G29" s="50"/>
      <c r="H29" s="27">
        <f t="shared" si="0"/>
      </c>
      <c r="I29" s="102" t="str">
        <f t="shared" si="1"/>
        <v>0,0%</v>
      </c>
      <c r="J29" s="15">
        <f>IF(G29="","",IF($G$20/G29&lt;1,"менее "&amp;$B$10,IF(10^((H29-INTERCEPT($I$10:$I$13,$H$10:$H$13))/SLOPE($I$10:$I$13,$H$10:$H$13))&gt;$B$13,"более "&amp;$B$13,IF(10^((H29-INTERCEPT($I$10:$I$13,$H$10:$H$13))/SLOPE($I$10:$I$13,$H$10:$H$13))&lt;$B$10,"менее "&amp;$B$10,ROUND(10^((H29-INTERCEPT($I$10:$I$13,$H$10:$H$13))/SLOPE($I$10:$I$13,$H$10:$H$13))*F28,2)))))</f>
      </c>
      <c r="K29" s="42" t="e">
        <f>VLOOKUP(D28,$R$4:$U$12,3,FALSE)</f>
        <v>#N/A</v>
      </c>
      <c r="L29" s="73"/>
      <c r="M29" s="104"/>
      <c r="N29" s="75"/>
      <c r="O29" s="106"/>
    </row>
    <row r="30" spans="1:15" ht="15">
      <c r="A30" s="107">
        <v>3</v>
      </c>
      <c r="B30" s="94"/>
      <c r="C30" s="95"/>
      <c r="D30" s="76">
        <v>1</v>
      </c>
      <c r="E30" s="77"/>
      <c r="F30" s="98">
        <v>1</v>
      </c>
      <c r="G30" s="50"/>
      <c r="H30" s="27">
        <f t="shared" si="0"/>
      </c>
      <c r="I30" s="101">
        <f>IF(OR(G31="",G30=""),"",STDEV(G30:G31)/AVERAGE(G30:G31))</f>
      </c>
      <c r="J30" s="15">
        <f>IF(G30="","",IF($G$20/G30&lt;1,"менее "&amp;$B$10,IF(10^((H30-INTERCEPT($I$10:$I$13,$H$10:$H$13))/SLOPE($I$10:$I$13,$H$10:$H$13))&gt;$B$13,"более "&amp;$B$13,IF(10^((H30-INTERCEPT($I$10:$I$13,$H$10:$H$13))/SLOPE($I$10:$I$13,$H$10:$H$13))&lt;$B$10,"менее "&amp;$B$10,ROUND(10^((H30-INTERCEPT($I$10:$I$13,$H$10:$H$13))/SLOPE($I$10:$I$13,$H$10:$H$13))*F30,2)))))</f>
      </c>
      <c r="K30" s="41" t="e">
        <f>ABS(J30-J31)</f>
        <v>#VALUE!</v>
      </c>
      <c r="L30" s="72">
        <f>IF(M30="","",IF(M30="более "&amp;$B$13,"",IF(M30="менее "&amp;$B$10,"",IF(0.01*M30*K31&gt;K30,"приемлемо","неприемлемо"))))</f>
      </c>
      <c r="M30" s="103">
        <f>IF(OR(J30="",J31=""),"",IF(OR(J30="менее "&amp;$B$10,J31="менее "&amp;$B$10),"менее "&amp;$B$10,IF(OR(J30="более "&amp;$B$13,J31="более "&amp;$B$13),"более "&amp;$B$13,ROUND(AVERAGE(J30:J31),1))))</f>
      </c>
      <c r="N30" s="74">
        <f>IF(M30="","",IF(M30="более "&amp;$B$13,"",IF(M30="менее "&amp;$B$10,"",0.01*M30*VLOOKUP(D30,$R$4:$U$12,4,FALSE))))</f>
      </c>
      <c r="O30" s="105"/>
    </row>
    <row r="31" spans="1:15" ht="15">
      <c r="A31" s="108"/>
      <c r="B31" s="96"/>
      <c r="C31" s="97"/>
      <c r="D31" s="78"/>
      <c r="E31" s="79"/>
      <c r="F31" s="99"/>
      <c r="G31" s="50"/>
      <c r="H31" s="27">
        <f t="shared" si="0"/>
      </c>
      <c r="I31" s="102" t="str">
        <f t="shared" si="1"/>
        <v>0,0%</v>
      </c>
      <c r="J31" s="15">
        <f>IF(G31="","",IF($G$20/G31&lt;1,"менее "&amp;$B$10,IF(10^((H31-INTERCEPT($I$10:$I$13,$H$10:$H$13))/SLOPE($I$10:$I$13,$H$10:$H$13))&gt;$B$13,"более "&amp;$B$13,IF(10^((H31-INTERCEPT($I$10:$I$13,$H$10:$H$13))/SLOPE($I$10:$I$13,$H$10:$H$13))&lt;$B$10,"менее "&amp;$B$10,ROUND(10^((H31-INTERCEPT($I$10:$I$13,$H$10:$H$13))/SLOPE($I$10:$I$13,$H$10:$H$13))*F30,2)))))</f>
      </c>
      <c r="K31" s="42" t="e">
        <f>VLOOKUP(D30,$R$4:$U$12,3,FALSE)</f>
        <v>#N/A</v>
      </c>
      <c r="L31" s="73"/>
      <c r="M31" s="104"/>
      <c r="N31" s="75"/>
      <c r="O31" s="106"/>
    </row>
    <row r="32" spans="1:15" ht="15">
      <c r="A32" s="107">
        <v>4</v>
      </c>
      <c r="B32" s="94"/>
      <c r="C32" s="95"/>
      <c r="D32" s="76">
        <v>1</v>
      </c>
      <c r="E32" s="77"/>
      <c r="F32" s="98">
        <v>1</v>
      </c>
      <c r="G32" s="50"/>
      <c r="H32" s="27">
        <f t="shared" si="0"/>
      </c>
      <c r="I32" s="101">
        <f>IF(OR(G33="",G32=""),"",STDEV(G32:G33)/AVERAGE(G32:G33))</f>
      </c>
      <c r="J32" s="15">
        <f>IF(G32="","",IF($G$20/G32&lt;1,"менее "&amp;$B$10,IF(10^((H32-INTERCEPT($I$10:$I$13,$H$10:$H$13))/SLOPE($I$10:$I$13,$H$10:$H$13))&gt;$B$13,"более "&amp;$B$13,IF(10^((H32-INTERCEPT($I$10:$I$13,$H$10:$H$13))/SLOPE($I$10:$I$13,$H$10:$H$13))&lt;$B$10,"менее "&amp;$B$10,ROUND(10^((H32-INTERCEPT($I$10:$I$13,$H$10:$H$13))/SLOPE($I$10:$I$13,$H$10:$H$13))*F32,2)))))</f>
      </c>
      <c r="K32" s="41" t="e">
        <f>ABS(J32-J33)</f>
        <v>#VALUE!</v>
      </c>
      <c r="L32" s="72">
        <f>IF(M32="","",IF(M32="более "&amp;$B$13,"",IF(M32="менее "&amp;$B$10,"",IF(0.01*M32*K33&gt;K32,"приемлемо","неприемлемо"))))</f>
      </c>
      <c r="M32" s="103">
        <f>IF(OR(J32="",J33=""),"",IF(OR(J32="менее "&amp;$B$10,J33="менее "&amp;$B$10),"менее "&amp;$B$10,IF(OR(J32="более "&amp;$B$13,J33="более "&amp;$B$13),"более "&amp;$B$13,ROUND(AVERAGE(J32:J33),1))))</f>
      </c>
      <c r="N32" s="74">
        <f>IF(M32="","",IF(M32="более "&amp;$B$13,"",IF(M32="менее "&amp;$B$10,"",0.01*M32*VLOOKUP(D32,$R$4:$U$12,4,FALSE))))</f>
      </c>
      <c r="O32" s="105"/>
    </row>
    <row r="33" spans="1:15" ht="15">
      <c r="A33" s="108"/>
      <c r="B33" s="96"/>
      <c r="C33" s="97"/>
      <c r="D33" s="78"/>
      <c r="E33" s="79"/>
      <c r="F33" s="99"/>
      <c r="G33" s="50"/>
      <c r="H33" s="27">
        <f t="shared" si="0"/>
      </c>
      <c r="I33" s="102" t="str">
        <f t="shared" si="1"/>
        <v>0,0%</v>
      </c>
      <c r="J33" s="15">
        <f>IF(G33="","",IF($G$20/G33&lt;1,"менее "&amp;$B$10,IF(10^((H33-INTERCEPT($I$10:$I$13,$H$10:$H$13))/SLOPE($I$10:$I$13,$H$10:$H$13))&gt;$B$13,"более "&amp;$B$13,IF(10^((H33-INTERCEPT($I$10:$I$13,$H$10:$H$13))/SLOPE($I$10:$I$13,$H$10:$H$13))&lt;$B$10,"менее "&amp;$B$10,ROUND(10^((H33-INTERCEPT($I$10:$I$13,$H$10:$H$13))/SLOPE($I$10:$I$13,$H$10:$H$13))*F32,2)))))</f>
      </c>
      <c r="K33" s="42" t="e">
        <f>VLOOKUP(D32,$R$4:$U$12,3,FALSE)</f>
        <v>#N/A</v>
      </c>
      <c r="L33" s="73"/>
      <c r="M33" s="104"/>
      <c r="N33" s="75"/>
      <c r="O33" s="106"/>
    </row>
    <row r="34" spans="1:15" ht="15">
      <c r="A34" s="107">
        <v>5</v>
      </c>
      <c r="B34" s="94"/>
      <c r="C34" s="95"/>
      <c r="D34" s="76">
        <v>1</v>
      </c>
      <c r="E34" s="77"/>
      <c r="F34" s="98">
        <v>1</v>
      </c>
      <c r="G34" s="50"/>
      <c r="H34" s="27">
        <f t="shared" si="0"/>
      </c>
      <c r="I34" s="101">
        <f>IF(OR(G35="",G34=""),"",STDEV(G34:G35)/AVERAGE(G34:G35))</f>
      </c>
      <c r="J34" s="15">
        <f>IF(G34="","",IF($G$20/G34&lt;1,"менее "&amp;$B$10,IF(10^((H34-INTERCEPT($I$10:$I$13,$H$10:$H$13))/SLOPE($I$10:$I$13,$H$10:$H$13))&gt;$B$13,"более "&amp;$B$13,IF(10^((H34-INTERCEPT($I$10:$I$13,$H$10:$H$13))/SLOPE($I$10:$I$13,$H$10:$H$13))&lt;$B$10,"менее "&amp;$B$10,ROUND(10^((H34-INTERCEPT($I$10:$I$13,$H$10:$H$13))/SLOPE($I$10:$I$13,$H$10:$H$13))*F34,2)))))</f>
      </c>
      <c r="K34" s="41" t="e">
        <f>ABS(J34-J35)</f>
        <v>#VALUE!</v>
      </c>
      <c r="L34" s="72">
        <f>IF(M34="","",IF(M34="более "&amp;$B$13,"",IF(M34="менее "&amp;$B$10,"",IF(0.01*M34*K35&gt;K34,"приемлемо","неприемлемо"))))</f>
      </c>
      <c r="M34" s="103">
        <f>IF(OR(J34="",J35=""),"",IF(OR(J34="менее "&amp;$B$10,J35="менее "&amp;$B$10),"менее "&amp;$B$10,IF(OR(J34="более "&amp;$B$13,J35="более "&amp;$B$13),"более "&amp;$B$13,ROUND(AVERAGE(J34:J35),1))))</f>
      </c>
      <c r="N34" s="74">
        <f>IF(M34="","",IF(M34="более "&amp;$B$13,"",IF(M34="менее "&amp;$B$10,"",0.01*M34*VLOOKUP(D34,$R$4:$U$12,4,FALSE))))</f>
      </c>
      <c r="O34" s="105"/>
    </row>
    <row r="35" spans="1:15" ht="15">
      <c r="A35" s="108"/>
      <c r="B35" s="96"/>
      <c r="C35" s="97"/>
      <c r="D35" s="78"/>
      <c r="E35" s="79"/>
      <c r="F35" s="99"/>
      <c r="G35" s="50"/>
      <c r="H35" s="27">
        <f t="shared" si="0"/>
      </c>
      <c r="I35" s="102" t="str">
        <f t="shared" si="1"/>
        <v>0,0%</v>
      </c>
      <c r="J35" s="15">
        <f>IF(G35="","",IF($G$20/G35&lt;1,"менее "&amp;$B$10,IF(10^((H35-INTERCEPT($I$10:$I$13,$H$10:$H$13))/SLOPE($I$10:$I$13,$H$10:$H$13))&gt;$B$13,"более "&amp;$B$13,IF(10^((H35-INTERCEPT($I$10:$I$13,$H$10:$H$13))/SLOPE($I$10:$I$13,$H$10:$H$13))&lt;$B$10,"менее "&amp;$B$10,ROUND(10^((H35-INTERCEPT($I$10:$I$13,$H$10:$H$13))/SLOPE($I$10:$I$13,$H$10:$H$13))*F34,2)))))</f>
      </c>
      <c r="K35" s="42" t="e">
        <f>VLOOKUP(D34,$R$4:$U$12,3,FALSE)</f>
        <v>#N/A</v>
      </c>
      <c r="L35" s="73"/>
      <c r="M35" s="104"/>
      <c r="N35" s="75"/>
      <c r="O35" s="106"/>
    </row>
    <row r="36" spans="1:15" ht="15">
      <c r="A36" s="107">
        <v>6</v>
      </c>
      <c r="B36" s="94"/>
      <c r="C36" s="95"/>
      <c r="D36" s="76">
        <v>1</v>
      </c>
      <c r="E36" s="77"/>
      <c r="F36" s="98">
        <v>1</v>
      </c>
      <c r="G36" s="50"/>
      <c r="H36" s="27">
        <f t="shared" si="0"/>
      </c>
      <c r="I36" s="101">
        <f>IF(OR(G37="",G36=""),"",STDEV(G36:G37)/AVERAGE(G36:G37))</f>
      </c>
      <c r="J36" s="15">
        <f>IF(G36="","",IF($G$20/G36&lt;1,"менее "&amp;$B$10,IF(10^((H36-INTERCEPT($I$10:$I$13,$H$10:$H$13))/SLOPE($I$10:$I$13,$H$10:$H$13))&gt;$B$13,"более "&amp;$B$13,IF(10^((H36-INTERCEPT($I$10:$I$13,$H$10:$H$13))/SLOPE($I$10:$I$13,$H$10:$H$13))&lt;$B$10,"менее "&amp;$B$10,ROUND(10^((H36-INTERCEPT($I$10:$I$13,$H$10:$H$13))/SLOPE($I$10:$I$13,$H$10:$H$13))*F36,2)))))</f>
      </c>
      <c r="K36" s="41" t="e">
        <f>ABS(J36-J37)</f>
        <v>#VALUE!</v>
      </c>
      <c r="L36" s="72">
        <f>IF(M36="","",IF(M36="более "&amp;$B$13,"",IF(M36="менее "&amp;$B$10,"",IF(0.01*M36*K37&gt;K36,"приемлемо","неприемлемо"))))</f>
      </c>
      <c r="M36" s="103">
        <f>IF(OR(J36="",J37=""),"",IF(OR(J36="менее "&amp;$B$10,J37="менее "&amp;$B$10),"менее "&amp;$B$10,IF(OR(J36="более "&amp;$B$13,J37="более "&amp;$B$13),"более "&amp;$B$13,ROUND(AVERAGE(J36:J37),1))))</f>
      </c>
      <c r="N36" s="74">
        <f>IF(M36="","",IF(M36="более "&amp;$B$13,"",IF(M36="менее "&amp;$B$10,"",0.01*M36*VLOOKUP(D36,$R$4:$U$12,4,FALSE))))</f>
      </c>
      <c r="O36" s="105"/>
    </row>
    <row r="37" spans="1:15" ht="15">
      <c r="A37" s="108"/>
      <c r="B37" s="96"/>
      <c r="C37" s="97"/>
      <c r="D37" s="78"/>
      <c r="E37" s="79"/>
      <c r="F37" s="99"/>
      <c r="G37" s="50"/>
      <c r="H37" s="27">
        <f t="shared" si="0"/>
      </c>
      <c r="I37" s="102" t="str">
        <f t="shared" si="1"/>
        <v>0,0%</v>
      </c>
      <c r="J37" s="15">
        <f>IF(G37="","",IF($G$20/G37&lt;1,"менее "&amp;$B$10,IF(10^((H37-INTERCEPT($I$10:$I$13,$H$10:$H$13))/SLOPE($I$10:$I$13,$H$10:$H$13))&gt;$B$13,"более "&amp;$B$13,IF(10^((H37-INTERCEPT($I$10:$I$13,$H$10:$H$13))/SLOPE($I$10:$I$13,$H$10:$H$13))&lt;$B$10,"менее "&amp;$B$10,ROUND(10^((H37-INTERCEPT($I$10:$I$13,$H$10:$H$13))/SLOPE($I$10:$I$13,$H$10:$H$13))*F36,2)))))</f>
      </c>
      <c r="K37" s="42" t="e">
        <f>VLOOKUP(D36,$R$4:$U$12,3,FALSE)</f>
        <v>#N/A</v>
      </c>
      <c r="L37" s="73"/>
      <c r="M37" s="104"/>
      <c r="N37" s="75"/>
      <c r="O37" s="106"/>
    </row>
    <row r="38" spans="1:15" ht="15">
      <c r="A38" s="107">
        <v>7</v>
      </c>
      <c r="B38" s="94"/>
      <c r="C38" s="95"/>
      <c r="D38" s="76">
        <v>1</v>
      </c>
      <c r="E38" s="77"/>
      <c r="F38" s="98">
        <v>1</v>
      </c>
      <c r="G38" s="50"/>
      <c r="H38" s="27">
        <f t="shared" si="0"/>
      </c>
      <c r="I38" s="101">
        <f>IF(OR(G39="",G38=""),"",STDEV(G38:G39)/AVERAGE(G38:G39))</f>
      </c>
      <c r="J38" s="15">
        <f>IF(G38="","",IF($G$20/G38&lt;1,"менее "&amp;$B$10,IF(10^((H38-INTERCEPT($I$10:$I$13,$H$10:$H$13))/SLOPE($I$10:$I$13,$H$10:$H$13))&gt;$B$13,"более "&amp;$B$13,IF(10^((H38-INTERCEPT($I$10:$I$13,$H$10:$H$13))/SLOPE($I$10:$I$13,$H$10:$H$13))&lt;$B$10,"менее "&amp;$B$10,ROUND(10^((H38-INTERCEPT($I$10:$I$13,$H$10:$H$13))/SLOPE($I$10:$I$13,$H$10:$H$13))*F38,2)))))</f>
      </c>
      <c r="K38" s="41" t="e">
        <f>ABS(J38-J39)</f>
        <v>#VALUE!</v>
      </c>
      <c r="L38" s="72">
        <f>IF(M38="","",IF(M38="более "&amp;$B$13,"",IF(M38="менее "&amp;$B$10,"",IF(0.01*M38*K39&gt;K38,"приемлемо","неприемлемо"))))</f>
      </c>
      <c r="M38" s="103">
        <f>IF(OR(J38="",J39=""),"",IF(OR(J38="менее "&amp;$B$10,J39="менее "&amp;$B$10),"менее "&amp;$B$10,IF(OR(J38="более "&amp;$B$13,J39="более "&amp;$B$13),"более "&amp;$B$13,ROUND(AVERAGE(J38:J39),1))))</f>
      </c>
      <c r="N38" s="74">
        <f>IF(M38="","",IF(M38="более "&amp;$B$13,"",IF(M38="менее "&amp;$B$10,"",0.01*M38*VLOOKUP(D38,$R$4:$U$12,4,FALSE))))</f>
      </c>
      <c r="O38" s="105"/>
    </row>
    <row r="39" spans="1:15" ht="15">
      <c r="A39" s="108"/>
      <c r="B39" s="96"/>
      <c r="C39" s="97"/>
      <c r="D39" s="78"/>
      <c r="E39" s="79"/>
      <c r="F39" s="99"/>
      <c r="G39" s="50"/>
      <c r="H39" s="27">
        <f t="shared" si="0"/>
      </c>
      <c r="I39" s="102" t="str">
        <f t="shared" si="1"/>
        <v>0,0%</v>
      </c>
      <c r="J39" s="15">
        <f>IF(G39="","",IF($G$20/G39&lt;1,"менее "&amp;$B$10,IF(10^((H39-INTERCEPT($I$10:$I$13,$H$10:$H$13))/SLOPE($I$10:$I$13,$H$10:$H$13))&gt;$B$13,"более "&amp;$B$13,IF(10^((H39-INTERCEPT($I$10:$I$13,$H$10:$H$13))/SLOPE($I$10:$I$13,$H$10:$H$13))&lt;$B$10,"менее "&amp;$B$10,ROUND(10^((H39-INTERCEPT($I$10:$I$13,$H$10:$H$13))/SLOPE($I$10:$I$13,$H$10:$H$13))*F38,2)))))</f>
      </c>
      <c r="K39" s="42" t="e">
        <f>VLOOKUP(D38,$R$4:$U$12,3,FALSE)</f>
        <v>#N/A</v>
      </c>
      <c r="L39" s="73"/>
      <c r="M39" s="104"/>
      <c r="N39" s="75"/>
      <c r="O39" s="106"/>
    </row>
    <row r="40" spans="1:15" ht="15">
      <c r="A40" s="107">
        <v>8</v>
      </c>
      <c r="B40" s="94"/>
      <c r="C40" s="95"/>
      <c r="D40" s="76">
        <v>1</v>
      </c>
      <c r="E40" s="77"/>
      <c r="F40" s="98">
        <v>1</v>
      </c>
      <c r="G40" s="50"/>
      <c r="H40" s="27">
        <f t="shared" si="0"/>
      </c>
      <c r="I40" s="101">
        <f>IF(OR(G41="",G40=""),"",STDEV(G40:G41)/AVERAGE(G40:G41))</f>
      </c>
      <c r="J40" s="15">
        <f>IF(G40="","",IF($G$20/G40&lt;1,"менее "&amp;$B$10,IF(10^((H40-INTERCEPT($I$10:$I$13,$H$10:$H$13))/SLOPE($I$10:$I$13,$H$10:$H$13))&gt;$B$13,"более "&amp;$B$13,IF(10^((H40-INTERCEPT($I$10:$I$13,$H$10:$H$13))/SLOPE($I$10:$I$13,$H$10:$H$13))&lt;$B$10,"менее "&amp;$B$10,ROUND(10^((H40-INTERCEPT($I$10:$I$13,$H$10:$H$13))/SLOPE($I$10:$I$13,$H$10:$H$13))*F40,2)))))</f>
      </c>
      <c r="K40" s="41" t="e">
        <f>ABS(J40-J41)</f>
        <v>#VALUE!</v>
      </c>
      <c r="L40" s="72">
        <f>IF(M40="","",IF(M40="более "&amp;$B$13,"",IF(M40="менее "&amp;$B$10,"",IF(0.01*M40*K41&gt;K40,"приемлемо","неприемлемо"))))</f>
      </c>
      <c r="M40" s="103">
        <f>IF(OR(J40="",J41=""),"",IF(OR(J40="менее "&amp;$B$10,J41="менее "&amp;$B$10),"менее "&amp;$B$10,IF(OR(J40="более "&amp;$B$13,J41="более "&amp;$B$13),"более "&amp;$B$13,ROUND(AVERAGE(J40:J41),1))))</f>
      </c>
      <c r="N40" s="74">
        <f>IF(M40="","",IF(M40="более "&amp;$B$13,"",IF(M40="менее "&amp;$B$10,"",0.01*M40*VLOOKUP(D40,$R$4:$U$12,4,FALSE))))</f>
      </c>
      <c r="O40" s="105"/>
    </row>
    <row r="41" spans="1:15" ht="15">
      <c r="A41" s="108"/>
      <c r="B41" s="96"/>
      <c r="C41" s="97"/>
      <c r="D41" s="78"/>
      <c r="E41" s="79"/>
      <c r="F41" s="99"/>
      <c r="G41" s="50"/>
      <c r="H41" s="27">
        <f t="shared" si="0"/>
      </c>
      <c r="I41" s="102" t="str">
        <f t="shared" si="1"/>
        <v>0,0%</v>
      </c>
      <c r="J41" s="15">
        <f>IF(G41="","",IF($G$20/G41&lt;1,"менее "&amp;$B$10,IF(10^((H41-INTERCEPT($I$10:$I$13,$H$10:$H$13))/SLOPE($I$10:$I$13,$H$10:$H$13))&gt;$B$13,"более "&amp;$B$13,IF(10^((H41-INTERCEPT($I$10:$I$13,$H$10:$H$13))/SLOPE($I$10:$I$13,$H$10:$H$13))&lt;$B$10,"менее "&amp;$B$10,ROUND(10^((H41-INTERCEPT($I$10:$I$13,$H$10:$H$13))/SLOPE($I$10:$I$13,$H$10:$H$13))*F40,2)))))</f>
      </c>
      <c r="K41" s="42" t="e">
        <f>VLOOKUP(D40,$R$4:$U$12,3,FALSE)</f>
        <v>#N/A</v>
      </c>
      <c r="L41" s="73"/>
      <c r="M41" s="104"/>
      <c r="N41" s="75"/>
      <c r="O41" s="106"/>
    </row>
    <row r="42" spans="1:15" ht="15">
      <c r="A42" s="107">
        <v>9</v>
      </c>
      <c r="B42" s="94"/>
      <c r="C42" s="95"/>
      <c r="D42" s="76">
        <v>1</v>
      </c>
      <c r="E42" s="77"/>
      <c r="F42" s="98">
        <v>1</v>
      </c>
      <c r="G42" s="50"/>
      <c r="H42" s="27">
        <f t="shared" si="0"/>
      </c>
      <c r="I42" s="101">
        <f>IF(OR(G43="",G42=""),"",STDEV(G42:G43)/AVERAGE(G42:G43))</f>
      </c>
      <c r="J42" s="15">
        <f>IF(G42="","",IF($G$20/G42&lt;1,"менее "&amp;$B$10,IF(10^((H42-INTERCEPT($I$10:$I$13,$H$10:$H$13))/SLOPE($I$10:$I$13,$H$10:$H$13))&gt;$B$13,"более "&amp;$B$13,IF(10^((H42-INTERCEPT($I$10:$I$13,$H$10:$H$13))/SLOPE($I$10:$I$13,$H$10:$H$13))&lt;$B$10,"менее "&amp;$B$10,ROUND(10^((H42-INTERCEPT($I$10:$I$13,$H$10:$H$13))/SLOPE($I$10:$I$13,$H$10:$H$13))*F42,2)))))</f>
      </c>
      <c r="K42" s="41" t="e">
        <f>ABS(J42-J43)</f>
        <v>#VALUE!</v>
      </c>
      <c r="L42" s="72">
        <f>IF(M42="","",IF(M42="более "&amp;$B$13,"",IF(M42="менее "&amp;$B$10,"",IF(0.01*M42*K43&gt;K42,"приемлемо","неприемлемо"))))</f>
      </c>
      <c r="M42" s="103">
        <f>IF(OR(J42="",J43=""),"",IF(OR(J42="менее "&amp;$B$10,J43="менее "&amp;$B$10),"менее "&amp;$B$10,IF(OR(J42="более "&amp;$B$13,J43="более "&amp;$B$13),"более "&amp;$B$13,ROUND(AVERAGE(J42:J43),1))))</f>
      </c>
      <c r="N42" s="74">
        <f>IF(M42="","",IF(M42="более "&amp;$B$13,"",IF(M42="менее "&amp;$B$10,"",0.01*M42*VLOOKUP(D42,$R$4:$U$12,4,FALSE))))</f>
      </c>
      <c r="O42" s="105"/>
    </row>
    <row r="43" spans="1:15" ht="15">
      <c r="A43" s="108"/>
      <c r="B43" s="96"/>
      <c r="C43" s="97"/>
      <c r="D43" s="78"/>
      <c r="E43" s="79"/>
      <c r="F43" s="99"/>
      <c r="G43" s="50"/>
      <c r="H43" s="27">
        <f t="shared" si="0"/>
      </c>
      <c r="I43" s="102" t="str">
        <f t="shared" si="1"/>
        <v>0,0%</v>
      </c>
      <c r="J43" s="15">
        <f>IF(G43="","",IF($G$20/G43&lt;1,"менее "&amp;$B$10,IF(10^((H43-INTERCEPT($I$10:$I$13,$H$10:$H$13))/SLOPE($I$10:$I$13,$H$10:$H$13))&gt;$B$13,"более "&amp;$B$13,IF(10^((H43-INTERCEPT($I$10:$I$13,$H$10:$H$13))/SLOPE($I$10:$I$13,$H$10:$H$13))&lt;$B$10,"менее "&amp;$B$10,ROUND(10^((H43-INTERCEPT($I$10:$I$13,$H$10:$H$13))/SLOPE($I$10:$I$13,$H$10:$H$13))*F42,2)))))</f>
      </c>
      <c r="K43" s="42" t="e">
        <f>VLOOKUP(D42,$R$4:$U$12,3,FALSE)</f>
        <v>#N/A</v>
      </c>
      <c r="L43" s="73"/>
      <c r="M43" s="104"/>
      <c r="N43" s="75"/>
      <c r="O43" s="106"/>
    </row>
    <row r="44" spans="1:15" ht="15">
      <c r="A44" s="107">
        <v>10</v>
      </c>
      <c r="B44" s="94"/>
      <c r="C44" s="95"/>
      <c r="D44" s="76">
        <v>1</v>
      </c>
      <c r="E44" s="77"/>
      <c r="F44" s="98">
        <v>1</v>
      </c>
      <c r="G44" s="50"/>
      <c r="H44" s="27">
        <f t="shared" si="0"/>
      </c>
      <c r="I44" s="101">
        <f>IF(OR(G45="",G44=""),"",STDEV(G44:G45)/AVERAGE(G44:G45))</f>
      </c>
      <c r="J44" s="15">
        <f>IF(G44="","",IF($G$20/G44&lt;1,"менее "&amp;$B$10,IF(10^((H44-INTERCEPT($I$10:$I$13,$H$10:$H$13))/SLOPE($I$10:$I$13,$H$10:$H$13))&gt;$B$13,"более "&amp;$B$13,IF(10^((H44-INTERCEPT($I$10:$I$13,$H$10:$H$13))/SLOPE($I$10:$I$13,$H$10:$H$13))&lt;$B$10,"менее "&amp;$B$10,ROUND(10^((H44-INTERCEPT($I$10:$I$13,$H$10:$H$13))/SLOPE($I$10:$I$13,$H$10:$H$13))*F44,2)))))</f>
      </c>
      <c r="K44" s="41" t="e">
        <f>ABS(J44-J45)</f>
        <v>#VALUE!</v>
      </c>
      <c r="L44" s="72">
        <f>IF(M44="","",IF(M44="более "&amp;$B$13,"",IF(M44="менее "&amp;$B$10,"",IF(0.01*M44*K45&gt;K44,"приемлемо","неприемлемо"))))</f>
      </c>
      <c r="M44" s="103">
        <f>IF(OR(J44="",J45=""),"",IF(OR(J44="менее "&amp;$B$10,J45="менее "&amp;$B$10),"менее "&amp;$B$10,IF(OR(J44="более "&amp;$B$13,J45="более "&amp;$B$13),"более "&amp;$B$13,ROUND(AVERAGE(J44:J45),1))))</f>
      </c>
      <c r="N44" s="74">
        <f>IF(M44="","",IF(M44="более "&amp;$B$13,"",IF(M44="менее "&amp;$B$10,"",0.01*M44*VLOOKUP(D44,$R$4:$U$12,4,FALSE))))</f>
      </c>
      <c r="O44" s="105"/>
    </row>
    <row r="45" spans="1:15" ht="15">
      <c r="A45" s="108"/>
      <c r="B45" s="96"/>
      <c r="C45" s="97"/>
      <c r="D45" s="78"/>
      <c r="E45" s="79"/>
      <c r="F45" s="99"/>
      <c r="G45" s="50"/>
      <c r="H45" s="27">
        <f t="shared" si="0"/>
      </c>
      <c r="I45" s="102" t="str">
        <f t="shared" si="1"/>
        <v>0,0%</v>
      </c>
      <c r="J45" s="15">
        <f>IF(G45="","",IF($G$20/G45&lt;1,"менее "&amp;$B$10,IF(10^((H45-INTERCEPT($I$10:$I$13,$H$10:$H$13))/SLOPE($I$10:$I$13,$H$10:$H$13))&gt;$B$13,"более "&amp;$B$13,IF(10^((H45-INTERCEPT($I$10:$I$13,$H$10:$H$13))/SLOPE($I$10:$I$13,$H$10:$H$13))&lt;$B$10,"менее "&amp;$B$10,ROUND(10^((H45-INTERCEPT($I$10:$I$13,$H$10:$H$13))/SLOPE($I$10:$I$13,$H$10:$H$13))*F44,2)))))</f>
      </c>
      <c r="K45" s="42" t="e">
        <f>VLOOKUP(D44,$R$4:$U$12,3,FALSE)</f>
        <v>#N/A</v>
      </c>
      <c r="L45" s="73"/>
      <c r="M45" s="104"/>
      <c r="N45" s="75"/>
      <c r="O45" s="106"/>
    </row>
    <row r="46" spans="1:15" ht="15">
      <c r="A46" s="107">
        <v>11</v>
      </c>
      <c r="B46" s="94"/>
      <c r="C46" s="95"/>
      <c r="D46" s="76">
        <v>1</v>
      </c>
      <c r="E46" s="77"/>
      <c r="F46" s="98">
        <v>1</v>
      </c>
      <c r="G46" s="50"/>
      <c r="H46" s="27">
        <f t="shared" si="0"/>
      </c>
      <c r="I46" s="101">
        <f>IF(OR(G47="",G46=""),"",STDEV(G46:G47)/AVERAGE(G46:G47))</f>
      </c>
      <c r="J46" s="15">
        <f>IF(G46="","",IF($G$20/G46&lt;1,"менее "&amp;$B$10,IF(10^((H46-INTERCEPT($I$10:$I$13,$H$10:$H$13))/SLOPE($I$10:$I$13,$H$10:$H$13))&gt;$B$13,"более "&amp;$B$13,IF(10^((H46-INTERCEPT($I$10:$I$13,$H$10:$H$13))/SLOPE($I$10:$I$13,$H$10:$H$13))&lt;$B$10,"менее "&amp;$B$10,ROUND(10^((H46-INTERCEPT($I$10:$I$13,$H$10:$H$13))/SLOPE($I$10:$I$13,$H$10:$H$13))*F46,2)))))</f>
      </c>
      <c r="K46" s="41" t="e">
        <f>ABS(J46-J47)</f>
        <v>#VALUE!</v>
      </c>
      <c r="L46" s="72">
        <f>IF(M46="","",IF(M46="более "&amp;$B$13,"",IF(M46="менее "&amp;$B$10,"",IF(0.01*M46*K47&gt;K46,"приемлемо","неприемлемо"))))</f>
      </c>
      <c r="M46" s="103">
        <f>IF(OR(J46="",J47=""),"",IF(OR(J46="менее "&amp;$B$10,J47="менее "&amp;$B$10),"менее "&amp;$B$10,IF(OR(J46="более "&amp;$B$13,J47="более "&amp;$B$13),"более "&amp;$B$13,ROUND(AVERAGE(J46:J47),1))))</f>
      </c>
      <c r="N46" s="74">
        <f>IF(M46="","",IF(M46="более "&amp;$B$13,"",IF(M46="менее "&amp;$B$10,"",0.01*M46*VLOOKUP(D46,$R$4:$U$12,4,FALSE))))</f>
      </c>
      <c r="O46" s="105"/>
    </row>
    <row r="47" spans="1:15" ht="15">
      <c r="A47" s="108"/>
      <c r="B47" s="96"/>
      <c r="C47" s="97"/>
      <c r="D47" s="78"/>
      <c r="E47" s="79"/>
      <c r="F47" s="99"/>
      <c r="G47" s="50"/>
      <c r="H47" s="27">
        <f t="shared" si="0"/>
      </c>
      <c r="I47" s="102" t="str">
        <f t="shared" si="1"/>
        <v>0,0%</v>
      </c>
      <c r="J47" s="15">
        <f>IF(G47="","",IF($G$20/G47&lt;1,"менее "&amp;$B$10,IF(10^((H47-INTERCEPT($I$10:$I$13,$H$10:$H$13))/SLOPE($I$10:$I$13,$H$10:$H$13))&gt;$B$13,"более "&amp;$B$13,IF(10^((H47-INTERCEPT($I$10:$I$13,$H$10:$H$13))/SLOPE($I$10:$I$13,$H$10:$H$13))&lt;$B$10,"менее "&amp;$B$10,ROUND(10^((H47-INTERCEPT($I$10:$I$13,$H$10:$H$13))/SLOPE($I$10:$I$13,$H$10:$H$13))*F46,2)))))</f>
      </c>
      <c r="K47" s="42" t="e">
        <f>VLOOKUP(D46,$R$4:$U$12,3,FALSE)</f>
        <v>#N/A</v>
      </c>
      <c r="L47" s="73"/>
      <c r="M47" s="104"/>
      <c r="N47" s="75"/>
      <c r="O47" s="106"/>
    </row>
    <row r="48" spans="1:15" ht="15">
      <c r="A48" s="107">
        <v>12</v>
      </c>
      <c r="B48" s="94"/>
      <c r="C48" s="95"/>
      <c r="D48" s="76">
        <v>1</v>
      </c>
      <c r="E48" s="77"/>
      <c r="F48" s="98">
        <v>1</v>
      </c>
      <c r="G48" s="50"/>
      <c r="H48" s="27">
        <f t="shared" si="0"/>
      </c>
      <c r="I48" s="101">
        <f>IF(OR(G49="",G48=""),"",STDEV(G48:G49)/AVERAGE(G48:G49))</f>
      </c>
      <c r="J48" s="15">
        <f>IF(G48="","",IF($G$20/G48&lt;1,"менее "&amp;$B$10,IF(10^((H48-INTERCEPT($I$10:$I$13,$H$10:$H$13))/SLOPE($I$10:$I$13,$H$10:$H$13))&gt;$B$13,"более "&amp;$B$13,IF(10^((H48-INTERCEPT($I$10:$I$13,$H$10:$H$13))/SLOPE($I$10:$I$13,$H$10:$H$13))&lt;$B$10,"менее "&amp;$B$10,ROUND(10^((H48-INTERCEPT($I$10:$I$13,$H$10:$H$13))/SLOPE($I$10:$I$13,$H$10:$H$13))*F48,2)))))</f>
      </c>
      <c r="K48" s="41" t="e">
        <f>ABS(J48-J49)</f>
        <v>#VALUE!</v>
      </c>
      <c r="L48" s="72">
        <f>IF(M48="","",IF(M48="более "&amp;$B$13,"",IF(M48="менее "&amp;$B$10,"",IF(0.01*M48*K49&gt;K48,"приемлемо","неприемлемо"))))</f>
      </c>
      <c r="M48" s="103">
        <f>IF(OR(J48="",J49=""),"",IF(OR(J48="менее "&amp;$B$10,J49="менее "&amp;$B$10),"менее "&amp;$B$10,IF(OR(J48="более "&amp;$B$13,J49="более "&amp;$B$13),"более "&amp;$B$13,ROUND(AVERAGE(J48:J49),1))))</f>
      </c>
      <c r="N48" s="74">
        <f>IF(M48="","",IF(M48="более "&amp;$B$13,"",IF(M48="менее "&amp;$B$10,"",0.01*M48*VLOOKUP(D48,$R$4:$U$12,4,FALSE))))</f>
      </c>
      <c r="O48" s="105"/>
    </row>
    <row r="49" spans="1:15" ht="15">
      <c r="A49" s="108"/>
      <c r="B49" s="96"/>
      <c r="C49" s="97"/>
      <c r="D49" s="78"/>
      <c r="E49" s="79"/>
      <c r="F49" s="99"/>
      <c r="G49" s="50"/>
      <c r="H49" s="27">
        <f t="shared" si="0"/>
      </c>
      <c r="I49" s="102" t="str">
        <f t="shared" si="1"/>
        <v>0,0%</v>
      </c>
      <c r="J49" s="15">
        <f>IF(G49="","",IF($G$20/G49&lt;1,"менее "&amp;$B$10,IF(10^((H49-INTERCEPT($I$10:$I$13,$H$10:$H$13))/SLOPE($I$10:$I$13,$H$10:$H$13))&gt;$B$13,"более "&amp;$B$13,IF(10^((H49-INTERCEPT($I$10:$I$13,$H$10:$H$13))/SLOPE($I$10:$I$13,$H$10:$H$13))&lt;$B$10,"менее "&amp;$B$10,ROUND(10^((H49-INTERCEPT($I$10:$I$13,$H$10:$H$13))/SLOPE($I$10:$I$13,$H$10:$H$13))*F48,2)))))</f>
      </c>
      <c r="K49" s="42" t="e">
        <f>VLOOKUP(D48,$R$4:$U$12,3,FALSE)</f>
        <v>#N/A</v>
      </c>
      <c r="L49" s="73"/>
      <c r="M49" s="104"/>
      <c r="N49" s="75"/>
      <c r="O49" s="106"/>
    </row>
    <row r="50" spans="1:15" ht="15">
      <c r="A50" s="107">
        <v>13</v>
      </c>
      <c r="B50" s="94"/>
      <c r="C50" s="95"/>
      <c r="D50" s="76">
        <v>1</v>
      </c>
      <c r="E50" s="77"/>
      <c r="F50" s="98">
        <v>1</v>
      </c>
      <c r="G50" s="50"/>
      <c r="H50" s="27">
        <f t="shared" si="0"/>
      </c>
      <c r="I50" s="101">
        <f>IF(OR(G51="",G50=""),"",STDEV(G50:G51)/AVERAGE(G50:G51))</f>
      </c>
      <c r="J50" s="15">
        <f>IF(G50="","",IF($G$20/G50&lt;1,"менее "&amp;$B$10,IF(10^((H50-INTERCEPT($I$10:$I$13,$H$10:$H$13))/SLOPE($I$10:$I$13,$H$10:$H$13))&gt;$B$13,"более "&amp;$B$13,IF(10^((H50-INTERCEPT($I$10:$I$13,$H$10:$H$13))/SLOPE($I$10:$I$13,$H$10:$H$13))&lt;$B$10,"менее "&amp;$B$10,ROUND(10^((H50-INTERCEPT($I$10:$I$13,$H$10:$H$13))/SLOPE($I$10:$I$13,$H$10:$H$13))*F50,2)))))</f>
      </c>
      <c r="K50" s="41" t="e">
        <f>ABS(J50-J51)</f>
        <v>#VALUE!</v>
      </c>
      <c r="L50" s="72">
        <f>IF(M50="","",IF(M50="более "&amp;$B$13,"",IF(M50="менее "&amp;$B$10,"",IF(0.01*M50*K51&gt;K50,"приемлемо","неприемлемо"))))</f>
      </c>
      <c r="M50" s="103">
        <f>IF(OR(J50="",J51=""),"",IF(OR(J50="менее "&amp;$B$10,J51="менее "&amp;$B$10),"менее "&amp;$B$10,IF(OR(J50="более "&amp;$B$13,J51="более "&amp;$B$13),"более "&amp;$B$13,ROUND(AVERAGE(J50:J51),1))))</f>
      </c>
      <c r="N50" s="74">
        <f>IF(M50="","",IF(M50="более "&amp;$B$13,"",IF(M50="менее "&amp;$B$10,"",0.01*M50*VLOOKUP(D50,$R$4:$U$12,4,FALSE))))</f>
      </c>
      <c r="O50" s="105"/>
    </row>
    <row r="51" spans="1:15" ht="15">
      <c r="A51" s="108"/>
      <c r="B51" s="96"/>
      <c r="C51" s="97"/>
      <c r="D51" s="78"/>
      <c r="E51" s="79"/>
      <c r="F51" s="99"/>
      <c r="G51" s="50"/>
      <c r="H51" s="27">
        <f t="shared" si="0"/>
      </c>
      <c r="I51" s="102" t="str">
        <f t="shared" si="1"/>
        <v>0,0%</v>
      </c>
      <c r="J51" s="15">
        <f>IF(G51="","",IF($G$20/G51&lt;1,"менее "&amp;$B$10,IF(10^((H51-INTERCEPT($I$10:$I$13,$H$10:$H$13))/SLOPE($I$10:$I$13,$H$10:$H$13))&gt;$B$13,"более "&amp;$B$13,IF(10^((H51-INTERCEPT($I$10:$I$13,$H$10:$H$13))/SLOPE($I$10:$I$13,$H$10:$H$13))&lt;$B$10,"менее "&amp;$B$10,ROUND(10^((H51-INTERCEPT($I$10:$I$13,$H$10:$H$13))/SLOPE($I$10:$I$13,$H$10:$H$13))*F50,2)))))</f>
      </c>
      <c r="K51" s="42" t="e">
        <f>VLOOKUP(D50,$R$4:$U$12,3,FALSE)</f>
        <v>#N/A</v>
      </c>
      <c r="L51" s="73"/>
      <c r="M51" s="104"/>
      <c r="N51" s="75"/>
      <c r="O51" s="106"/>
    </row>
    <row r="52" spans="1:15" ht="15">
      <c r="A52" s="107">
        <v>14</v>
      </c>
      <c r="B52" s="94"/>
      <c r="C52" s="95"/>
      <c r="D52" s="76">
        <v>1</v>
      </c>
      <c r="E52" s="77"/>
      <c r="F52" s="98">
        <v>1</v>
      </c>
      <c r="G52" s="50"/>
      <c r="H52" s="27">
        <f t="shared" si="0"/>
      </c>
      <c r="I52" s="101">
        <f>IF(OR(G53="",G52=""),"",STDEV(G52:G53)/AVERAGE(G52:G53))</f>
      </c>
      <c r="J52" s="15">
        <f>IF(G52="","",IF($G$20/G52&lt;1,"менее "&amp;$B$10,IF(10^((H52-INTERCEPT($I$10:$I$13,$H$10:$H$13))/SLOPE($I$10:$I$13,$H$10:$H$13))&gt;$B$13,"более "&amp;$B$13,IF(10^((H52-INTERCEPT($I$10:$I$13,$H$10:$H$13))/SLOPE($I$10:$I$13,$H$10:$H$13))&lt;$B$10,"менее "&amp;$B$10,ROUND(10^((H52-INTERCEPT($I$10:$I$13,$H$10:$H$13))/SLOPE($I$10:$I$13,$H$10:$H$13))*F52,2)))))</f>
      </c>
      <c r="K52" s="41" t="e">
        <f>ABS(J52-J53)</f>
        <v>#VALUE!</v>
      </c>
      <c r="L52" s="72">
        <f>IF(M52="","",IF(M52="более "&amp;$B$13,"",IF(M52="менее "&amp;$B$10,"",IF(0.01*M52*K53&gt;K52,"приемлемо","неприемлемо"))))</f>
      </c>
      <c r="M52" s="103">
        <f>IF(OR(J52="",J53=""),"",IF(OR(J52="менее "&amp;$B$10,J53="менее "&amp;$B$10),"менее "&amp;$B$10,IF(OR(J52="более "&amp;$B$13,J53="более "&amp;$B$13),"более "&amp;$B$13,ROUND(AVERAGE(J52:J53),1))))</f>
      </c>
      <c r="N52" s="74">
        <f>IF(M52="","",IF(M52="более "&amp;$B$13,"",IF(M52="менее "&amp;$B$10,"",0.01*M52*VLOOKUP(D52,$R$4:$U$12,4,FALSE))))</f>
      </c>
      <c r="O52" s="105"/>
    </row>
    <row r="53" spans="1:15" ht="15">
      <c r="A53" s="108"/>
      <c r="B53" s="96"/>
      <c r="C53" s="97"/>
      <c r="D53" s="78"/>
      <c r="E53" s="79"/>
      <c r="F53" s="99"/>
      <c r="G53" s="50"/>
      <c r="H53" s="27">
        <f t="shared" si="0"/>
      </c>
      <c r="I53" s="102" t="str">
        <f t="shared" si="1"/>
        <v>0,0%</v>
      </c>
      <c r="J53" s="15">
        <f>IF(G53="","",IF($G$20/G53&lt;1,"менее "&amp;$B$10,IF(10^((H53-INTERCEPT($I$10:$I$13,$H$10:$H$13))/SLOPE($I$10:$I$13,$H$10:$H$13))&gt;$B$13,"более "&amp;$B$13,IF(10^((H53-INTERCEPT($I$10:$I$13,$H$10:$H$13))/SLOPE($I$10:$I$13,$H$10:$H$13))&lt;$B$10,"менее "&amp;$B$10,ROUND(10^((H53-INTERCEPT($I$10:$I$13,$H$10:$H$13))/SLOPE($I$10:$I$13,$H$10:$H$13))*F52,2)))))</f>
      </c>
      <c r="K53" s="42" t="e">
        <f>VLOOKUP(D52,$R$4:$U$12,3,FALSE)</f>
        <v>#N/A</v>
      </c>
      <c r="L53" s="73"/>
      <c r="M53" s="104"/>
      <c r="N53" s="75"/>
      <c r="O53" s="106"/>
    </row>
    <row r="54" spans="1:15" ht="15">
      <c r="A54" s="107">
        <v>15</v>
      </c>
      <c r="B54" s="94"/>
      <c r="C54" s="95"/>
      <c r="D54" s="76">
        <v>1</v>
      </c>
      <c r="E54" s="77"/>
      <c r="F54" s="98">
        <v>1</v>
      </c>
      <c r="G54" s="50"/>
      <c r="H54" s="27">
        <f t="shared" si="0"/>
      </c>
      <c r="I54" s="101">
        <f>IF(OR(G55="",G54=""),"",STDEV(G54:G55)/AVERAGE(G54:G55))</f>
      </c>
      <c r="J54" s="15">
        <f>IF(G54="","",IF($G$20/G54&lt;1,"менее "&amp;$B$10,IF(10^((H54-INTERCEPT($I$10:$I$13,$H$10:$H$13))/SLOPE($I$10:$I$13,$H$10:$H$13))&gt;$B$13,"более "&amp;$B$13,IF(10^((H54-INTERCEPT($I$10:$I$13,$H$10:$H$13))/SLOPE($I$10:$I$13,$H$10:$H$13))&lt;$B$10,"менее "&amp;$B$10,ROUND(10^((H54-INTERCEPT($I$10:$I$13,$H$10:$H$13))/SLOPE($I$10:$I$13,$H$10:$H$13))*F54,2)))))</f>
      </c>
      <c r="K54" s="41" t="e">
        <f>ABS(J54-J55)</f>
        <v>#VALUE!</v>
      </c>
      <c r="L54" s="72">
        <f>IF(M54="","",IF(M54="более "&amp;$B$13,"",IF(M54="менее "&amp;$B$10,"",IF(0.01*M54*K55&gt;K54,"приемлемо","неприемлемо"))))</f>
      </c>
      <c r="M54" s="103">
        <f>IF(OR(J54="",J55=""),"",IF(OR(J54="менее "&amp;$B$10,J55="менее "&amp;$B$10),"менее "&amp;$B$10,IF(OR(J54="более "&amp;$B$13,J55="более "&amp;$B$13),"более "&amp;$B$13,ROUND(AVERAGE(J54:J55),1))))</f>
      </c>
      <c r="N54" s="74">
        <f>IF(M54="","",IF(M54="более "&amp;$B$13,"",IF(M54="менее "&amp;$B$10,"",0.01*M54*VLOOKUP(D54,$R$4:$U$12,4,FALSE))))</f>
      </c>
      <c r="O54" s="105"/>
    </row>
    <row r="55" spans="1:15" ht="15">
      <c r="A55" s="108"/>
      <c r="B55" s="96"/>
      <c r="C55" s="97"/>
      <c r="D55" s="78"/>
      <c r="E55" s="79"/>
      <c r="F55" s="99"/>
      <c r="G55" s="50"/>
      <c r="H55" s="27">
        <f t="shared" si="0"/>
      </c>
      <c r="I55" s="102" t="str">
        <f t="shared" si="1"/>
        <v>0,0%</v>
      </c>
      <c r="J55" s="15">
        <f>IF(G55="","",IF($G$20/G55&lt;1,"менее "&amp;$B$10,IF(10^((H55-INTERCEPT($I$10:$I$13,$H$10:$H$13))/SLOPE($I$10:$I$13,$H$10:$H$13))&gt;$B$13,"более "&amp;$B$13,IF(10^((H55-INTERCEPT($I$10:$I$13,$H$10:$H$13))/SLOPE($I$10:$I$13,$H$10:$H$13))&lt;$B$10,"менее "&amp;$B$10,ROUND(10^((H55-INTERCEPT($I$10:$I$13,$H$10:$H$13))/SLOPE($I$10:$I$13,$H$10:$H$13))*F54,2)))))</f>
      </c>
      <c r="K55" s="42" t="e">
        <f>VLOOKUP(D54,$R$4:$U$12,3,FALSE)</f>
        <v>#N/A</v>
      </c>
      <c r="L55" s="73"/>
      <c r="M55" s="104"/>
      <c r="N55" s="75"/>
      <c r="O55" s="106"/>
    </row>
    <row r="56" spans="1:15" ht="15">
      <c r="A56" s="107">
        <v>16</v>
      </c>
      <c r="B56" s="94"/>
      <c r="C56" s="95"/>
      <c r="D56" s="76">
        <v>1</v>
      </c>
      <c r="E56" s="77"/>
      <c r="F56" s="98">
        <v>1</v>
      </c>
      <c r="G56" s="50"/>
      <c r="H56" s="27">
        <f t="shared" si="0"/>
      </c>
      <c r="I56" s="101">
        <f>IF(OR(G57="",G56=""),"",STDEV(G56:G57)/AVERAGE(G56:G57))</f>
      </c>
      <c r="J56" s="15">
        <f>IF(G56="","",IF($G$20/G56&lt;1,"менее "&amp;$B$10,IF(10^((H56-INTERCEPT($I$10:$I$13,$H$10:$H$13))/SLOPE($I$10:$I$13,$H$10:$H$13))&gt;$B$13,"более "&amp;$B$13,IF(10^((H56-INTERCEPT($I$10:$I$13,$H$10:$H$13))/SLOPE($I$10:$I$13,$H$10:$H$13))&lt;$B$10,"менее "&amp;$B$10,ROUND(10^((H56-INTERCEPT($I$10:$I$13,$H$10:$H$13))/SLOPE($I$10:$I$13,$H$10:$H$13))*F56,2)))))</f>
      </c>
      <c r="K56" s="41" t="e">
        <f>ABS(J56-J57)</f>
        <v>#VALUE!</v>
      </c>
      <c r="L56" s="72">
        <f>IF(M56="","",IF(M56="более "&amp;$B$13,"",IF(M56="менее "&amp;$B$10,"",IF(0.01*M56*K57&gt;K56,"приемлемо","неприемлемо"))))</f>
      </c>
      <c r="M56" s="103">
        <f>IF(OR(J56="",J57=""),"",IF(OR(J56="менее "&amp;$B$10,J57="менее "&amp;$B$10),"менее "&amp;$B$10,IF(OR(J56="более "&amp;$B$13,J57="более "&amp;$B$13),"более "&amp;$B$13,ROUND(AVERAGE(J56:J57),1))))</f>
      </c>
      <c r="N56" s="74">
        <f>IF(M56="","",IF(M56="более "&amp;$B$13,"",IF(M56="менее "&amp;$B$10,"",0.01*M56*VLOOKUP(D56,$R$4:$U$12,4,FALSE))))</f>
      </c>
      <c r="O56" s="105"/>
    </row>
    <row r="57" spans="1:15" ht="15">
      <c r="A57" s="108"/>
      <c r="B57" s="96"/>
      <c r="C57" s="97"/>
      <c r="D57" s="78"/>
      <c r="E57" s="79"/>
      <c r="F57" s="99"/>
      <c r="G57" s="50"/>
      <c r="H57" s="27">
        <f t="shared" si="0"/>
      </c>
      <c r="I57" s="102" t="str">
        <f t="shared" si="1"/>
        <v>0,0%</v>
      </c>
      <c r="J57" s="15">
        <f>IF(G57="","",IF($G$20/G57&lt;1,"менее "&amp;$B$10,IF(10^((H57-INTERCEPT($I$10:$I$13,$H$10:$H$13))/SLOPE($I$10:$I$13,$H$10:$H$13))&gt;$B$13,"более "&amp;$B$13,IF(10^((H57-INTERCEPT($I$10:$I$13,$H$10:$H$13))/SLOPE($I$10:$I$13,$H$10:$H$13))&lt;$B$10,"менее "&amp;$B$10,ROUND(10^((H57-INTERCEPT($I$10:$I$13,$H$10:$H$13))/SLOPE($I$10:$I$13,$H$10:$H$13))*F56,2)))))</f>
      </c>
      <c r="K57" s="42" t="e">
        <f>VLOOKUP(D56,$R$4:$U$12,3,FALSE)</f>
        <v>#N/A</v>
      </c>
      <c r="L57" s="73"/>
      <c r="M57" s="104"/>
      <c r="N57" s="75"/>
      <c r="O57" s="106"/>
    </row>
    <row r="58" spans="1:15" ht="15">
      <c r="A58" s="107">
        <v>17</v>
      </c>
      <c r="B58" s="94"/>
      <c r="C58" s="95"/>
      <c r="D58" s="76">
        <v>1</v>
      </c>
      <c r="E58" s="77"/>
      <c r="F58" s="98">
        <v>1</v>
      </c>
      <c r="G58" s="50"/>
      <c r="H58" s="27">
        <f t="shared" si="0"/>
      </c>
      <c r="I58" s="101">
        <f>IF(OR(G59="",G58=""),"",STDEV(G58:G59)/AVERAGE(G58:G59))</f>
      </c>
      <c r="J58" s="15">
        <f>IF(G58="","",IF($G$20/G58&lt;1,"менее "&amp;$B$10,IF(10^((H58-INTERCEPT($I$10:$I$13,$H$10:$H$13))/SLOPE($I$10:$I$13,$H$10:$H$13))&gt;$B$13,"более "&amp;$B$13,IF(10^((H58-INTERCEPT($I$10:$I$13,$H$10:$H$13))/SLOPE($I$10:$I$13,$H$10:$H$13))&lt;$B$10,"менее "&amp;$B$10,ROUND(10^((H58-INTERCEPT($I$10:$I$13,$H$10:$H$13))/SLOPE($I$10:$I$13,$H$10:$H$13))*F58,2)))))</f>
      </c>
      <c r="K58" s="41" t="e">
        <f>ABS(J58-J59)</f>
        <v>#VALUE!</v>
      </c>
      <c r="L58" s="72">
        <f>IF(M58="","",IF(M58="более "&amp;$B$13,"",IF(M58="менее "&amp;$B$10,"",IF(0.01*M58*K59&gt;K58,"приемлемо","неприемлемо"))))</f>
      </c>
      <c r="M58" s="103">
        <f>IF(OR(J58="",J59=""),"",IF(OR(J58="менее "&amp;$B$10,J59="менее "&amp;$B$10),"менее "&amp;$B$10,IF(OR(J58="более "&amp;$B$13,J59="более "&amp;$B$13),"более "&amp;$B$13,ROUND(AVERAGE(J58:J59),1))))</f>
      </c>
      <c r="N58" s="74">
        <f>IF(M58="","",IF(M58="более "&amp;$B$13,"",IF(M58="менее "&amp;$B$10,"",0.01*M58*VLOOKUP(D58,$R$4:$U$12,4,FALSE))))</f>
      </c>
      <c r="O58" s="105"/>
    </row>
    <row r="59" spans="1:15" ht="15">
      <c r="A59" s="108"/>
      <c r="B59" s="96"/>
      <c r="C59" s="97"/>
      <c r="D59" s="78"/>
      <c r="E59" s="79"/>
      <c r="F59" s="99"/>
      <c r="G59" s="50"/>
      <c r="H59" s="27">
        <f t="shared" si="0"/>
      </c>
      <c r="I59" s="102" t="str">
        <f t="shared" si="1"/>
        <v>0,0%</v>
      </c>
      <c r="J59" s="15">
        <f>IF(G59="","",IF($G$20/G59&lt;1,"менее "&amp;$B$10,IF(10^((H59-INTERCEPT($I$10:$I$13,$H$10:$H$13))/SLOPE($I$10:$I$13,$H$10:$H$13))&gt;$B$13,"более "&amp;$B$13,IF(10^((H59-INTERCEPT($I$10:$I$13,$H$10:$H$13))/SLOPE($I$10:$I$13,$H$10:$H$13))&lt;$B$10,"менее "&amp;$B$10,ROUND(10^((H59-INTERCEPT($I$10:$I$13,$H$10:$H$13))/SLOPE($I$10:$I$13,$H$10:$H$13))*F58,2)))))</f>
      </c>
      <c r="K59" s="42" t="e">
        <f>VLOOKUP(D58,$R$4:$U$12,3,FALSE)</f>
        <v>#N/A</v>
      </c>
      <c r="L59" s="73"/>
      <c r="M59" s="104"/>
      <c r="N59" s="75"/>
      <c r="O59" s="106"/>
    </row>
    <row r="60" spans="1:15" ht="15">
      <c r="A60" s="107">
        <v>18</v>
      </c>
      <c r="B60" s="94"/>
      <c r="C60" s="95"/>
      <c r="D60" s="76">
        <v>1</v>
      </c>
      <c r="E60" s="77"/>
      <c r="F60" s="98">
        <v>1</v>
      </c>
      <c r="G60" s="50"/>
      <c r="H60" s="27">
        <f t="shared" si="0"/>
      </c>
      <c r="I60" s="101">
        <f>IF(OR(G61="",G60=""),"",STDEV(G60:G61)/AVERAGE(G60:G61))</f>
      </c>
      <c r="J60" s="15">
        <f>IF(G60="","",IF($G$20/G60&lt;1,"менее "&amp;$B$10,IF(10^((H60-INTERCEPT($I$10:$I$13,$H$10:$H$13))/SLOPE($I$10:$I$13,$H$10:$H$13))&gt;$B$13,"более "&amp;$B$13,IF(10^((H60-INTERCEPT($I$10:$I$13,$H$10:$H$13))/SLOPE($I$10:$I$13,$H$10:$H$13))&lt;$B$10,"менее "&amp;$B$10,ROUND(10^((H60-INTERCEPT($I$10:$I$13,$H$10:$H$13))/SLOPE($I$10:$I$13,$H$10:$H$13))*F60,2)))))</f>
      </c>
      <c r="K60" s="41" t="e">
        <f>ABS(J60-J61)</f>
        <v>#VALUE!</v>
      </c>
      <c r="L60" s="72">
        <f>IF(M60="","",IF(M60="более "&amp;$B$13,"",IF(M60="менее "&amp;$B$10,"",IF(0.01*M60*K61&gt;K60,"приемлемо","неприемлемо"))))</f>
      </c>
      <c r="M60" s="103">
        <f>IF(OR(J60="",J61=""),"",IF(OR(J60="менее "&amp;$B$10,J61="менее "&amp;$B$10),"менее "&amp;$B$10,IF(OR(J60="более "&amp;$B$13,J61="более "&amp;$B$13),"более "&amp;$B$13,ROUND(AVERAGE(J60:J61),1))))</f>
      </c>
      <c r="N60" s="74">
        <f>IF(M60="","",IF(M60="более "&amp;$B$13,"",IF(M60="менее "&amp;$B$10,"",0.01*M60*VLOOKUP(D60,$R$4:$U$12,4,FALSE))))</f>
      </c>
      <c r="O60" s="105"/>
    </row>
    <row r="61" spans="1:15" ht="15">
      <c r="A61" s="108"/>
      <c r="B61" s="96"/>
      <c r="C61" s="97"/>
      <c r="D61" s="78"/>
      <c r="E61" s="79"/>
      <c r="F61" s="99"/>
      <c r="G61" s="50"/>
      <c r="H61" s="27">
        <f t="shared" si="0"/>
      </c>
      <c r="I61" s="102" t="str">
        <f t="shared" si="1"/>
        <v>0,0%</v>
      </c>
      <c r="J61" s="15">
        <f>IF(G61="","",IF($G$20/G61&lt;1,"менее "&amp;$B$10,IF(10^((H61-INTERCEPT($I$10:$I$13,$H$10:$H$13))/SLOPE($I$10:$I$13,$H$10:$H$13))&gt;$B$13,"более "&amp;$B$13,IF(10^((H61-INTERCEPT($I$10:$I$13,$H$10:$H$13))/SLOPE($I$10:$I$13,$H$10:$H$13))&lt;$B$10,"менее "&amp;$B$10,ROUND(10^((H61-INTERCEPT($I$10:$I$13,$H$10:$H$13))/SLOPE($I$10:$I$13,$H$10:$H$13))*F60,2)))))</f>
      </c>
      <c r="K61" s="42" t="e">
        <f>VLOOKUP(D60,$R$4:$U$12,3,FALSE)</f>
        <v>#N/A</v>
      </c>
      <c r="L61" s="73"/>
      <c r="M61" s="104"/>
      <c r="N61" s="75"/>
      <c r="O61" s="106"/>
    </row>
    <row r="62" spans="1:15" ht="15">
      <c r="A62" s="107">
        <v>19</v>
      </c>
      <c r="B62" s="94"/>
      <c r="C62" s="95"/>
      <c r="D62" s="76">
        <v>1</v>
      </c>
      <c r="E62" s="77"/>
      <c r="F62" s="98">
        <v>1</v>
      </c>
      <c r="G62" s="50"/>
      <c r="H62" s="27">
        <f t="shared" si="0"/>
      </c>
      <c r="I62" s="101">
        <f>IF(OR(G63="",G62=""),"",STDEV(G62:G63)/AVERAGE(G62:G63))</f>
      </c>
      <c r="J62" s="15">
        <f>IF(G62="","",IF($G$20/G62&lt;1,"менее "&amp;$B$10,IF(10^((H62-INTERCEPT($I$10:$I$13,$H$10:$H$13))/SLOPE($I$10:$I$13,$H$10:$H$13))&gt;$B$13,"более "&amp;$B$13,IF(10^((H62-INTERCEPT($I$10:$I$13,$H$10:$H$13))/SLOPE($I$10:$I$13,$H$10:$H$13))&lt;$B$10,"менее "&amp;$B$10,ROUND(10^((H62-INTERCEPT($I$10:$I$13,$H$10:$H$13))/SLOPE($I$10:$I$13,$H$10:$H$13))*F62,2)))))</f>
      </c>
      <c r="K62" s="41" t="e">
        <f>ABS(J62-J63)</f>
        <v>#VALUE!</v>
      </c>
      <c r="L62" s="72">
        <f>IF(M62="","",IF(M62="более "&amp;$B$13,"",IF(M62="менее "&amp;$B$10,"",IF(0.01*M62*K63&gt;K62,"приемлемо","неприемлемо"))))</f>
      </c>
      <c r="M62" s="103">
        <f>IF(OR(J62="",J63=""),"",IF(OR(J62="менее "&amp;$B$10,J63="менее "&amp;$B$10),"менее "&amp;$B$10,IF(OR(J62="более "&amp;$B$13,J63="более "&amp;$B$13),"более "&amp;$B$13,ROUND(AVERAGE(J62:J63),1))))</f>
      </c>
      <c r="N62" s="74">
        <f>IF(M62="","",IF(M62="более "&amp;$B$13,"",IF(M62="менее "&amp;$B$10,"",0.01*M62*VLOOKUP(D62,$R$4:$U$12,4,FALSE))))</f>
      </c>
      <c r="O62" s="105"/>
    </row>
    <row r="63" spans="1:15" ht="15">
      <c r="A63" s="108"/>
      <c r="B63" s="96"/>
      <c r="C63" s="97"/>
      <c r="D63" s="78"/>
      <c r="E63" s="79"/>
      <c r="F63" s="99"/>
      <c r="G63" s="50"/>
      <c r="H63" s="27">
        <f t="shared" si="0"/>
      </c>
      <c r="I63" s="102" t="str">
        <f t="shared" si="1"/>
        <v>0,0%</v>
      </c>
      <c r="J63" s="15">
        <f>IF(G63="","",IF($G$20/G63&lt;1,"менее "&amp;$B$10,IF(10^((H63-INTERCEPT($I$10:$I$13,$H$10:$H$13))/SLOPE($I$10:$I$13,$H$10:$H$13))&gt;$B$13,"более "&amp;$B$13,IF(10^((H63-INTERCEPT($I$10:$I$13,$H$10:$H$13))/SLOPE($I$10:$I$13,$H$10:$H$13))&lt;$B$10,"менее "&amp;$B$10,ROUND(10^((H63-INTERCEPT($I$10:$I$13,$H$10:$H$13))/SLOPE($I$10:$I$13,$H$10:$H$13))*F62,2)))))</f>
      </c>
      <c r="K63" s="42" t="e">
        <f>VLOOKUP(D62,$R$4:$U$12,3,FALSE)</f>
        <v>#N/A</v>
      </c>
      <c r="L63" s="73"/>
      <c r="M63" s="104"/>
      <c r="N63" s="75"/>
      <c r="O63" s="106"/>
    </row>
    <row r="64" spans="1:15" ht="15">
      <c r="A64" s="107">
        <v>20</v>
      </c>
      <c r="B64" s="94"/>
      <c r="C64" s="95"/>
      <c r="D64" s="76">
        <v>1</v>
      </c>
      <c r="E64" s="77"/>
      <c r="F64" s="98">
        <v>1</v>
      </c>
      <c r="G64" s="50"/>
      <c r="H64" s="27">
        <f t="shared" si="0"/>
      </c>
      <c r="I64" s="101">
        <f>IF(OR(G65="",G64=""),"",STDEV(G64:G65)/AVERAGE(G64:G65))</f>
      </c>
      <c r="J64" s="15">
        <f>IF(G64="","",IF($G$20/G64&lt;1,"менее "&amp;$B$10,IF(10^((H64-INTERCEPT($I$10:$I$13,$H$10:$H$13))/SLOPE($I$10:$I$13,$H$10:$H$13))&gt;$B$13,"более "&amp;$B$13,IF(10^((H64-INTERCEPT($I$10:$I$13,$H$10:$H$13))/SLOPE($I$10:$I$13,$H$10:$H$13))&lt;$B$10,"менее "&amp;$B$10,ROUND(10^((H64-INTERCEPT($I$10:$I$13,$H$10:$H$13))/SLOPE($I$10:$I$13,$H$10:$H$13))*F64,2)))))</f>
      </c>
      <c r="K64" s="41" t="e">
        <f>ABS(J64-J65)</f>
        <v>#VALUE!</v>
      </c>
      <c r="L64" s="72">
        <f>IF(M64="","",IF(M64="более "&amp;$B$13,"",IF(M64="менее "&amp;$B$10,"",IF(0.01*M64*K65&gt;K64,"приемлемо","неприемлемо"))))</f>
      </c>
      <c r="M64" s="103">
        <f>IF(OR(J64="",J65=""),"",IF(OR(J64="менее "&amp;$B$10,J65="менее "&amp;$B$10),"менее "&amp;$B$10,IF(OR(J64="более "&amp;$B$13,J65="более "&amp;$B$13),"более "&amp;$B$13,ROUND(AVERAGE(J64:J65),1))))</f>
      </c>
      <c r="N64" s="74">
        <f>IF(M64="","",IF(M64="более "&amp;$B$13,"",IF(M64="менее "&amp;$B$10,"",0.01*M64*VLOOKUP(D64,$R$4:$U$12,4,FALSE))))</f>
      </c>
      <c r="O64" s="105"/>
    </row>
    <row r="65" spans="1:15" ht="15.75" thickBot="1">
      <c r="A65" s="108"/>
      <c r="B65" s="96"/>
      <c r="C65" s="97"/>
      <c r="D65" s="78"/>
      <c r="E65" s="79"/>
      <c r="F65" s="99"/>
      <c r="G65" s="50"/>
      <c r="H65" s="27">
        <f t="shared" si="0"/>
      </c>
      <c r="I65" s="102" t="str">
        <f t="shared" si="1"/>
        <v>0,0%</v>
      </c>
      <c r="J65" s="15">
        <f>IF(G65="","",IF($G$20/G65&lt;1,"менее "&amp;$B$10,IF(10^((H65-INTERCEPT($I$10:$I$13,$H$10:$H$13))/SLOPE($I$10:$I$13,$H$10:$H$13))&gt;$B$13,"более "&amp;$B$13,IF(10^((H65-INTERCEPT($I$10:$I$13,$H$10:$H$13))/SLOPE($I$10:$I$13,$H$10:$H$13))&lt;$B$10,"менее "&amp;$B$10,ROUND(10^((H65-INTERCEPT($I$10:$I$13,$H$10:$H$13))/SLOPE($I$10:$I$13,$H$10:$H$13))*F64,2)))))</f>
      </c>
      <c r="K65" s="42" t="e">
        <f>VLOOKUP(D64,$R$4:$U$12,3,FALSE)</f>
        <v>#N/A</v>
      </c>
      <c r="L65" s="73"/>
      <c r="M65" s="109"/>
      <c r="N65" s="110"/>
      <c r="O65" s="106"/>
    </row>
  </sheetData>
  <sheetProtection/>
  <mergeCells count="229">
    <mergeCell ref="A62:A63"/>
    <mergeCell ref="B62:C63"/>
    <mergeCell ref="F62:F63"/>
    <mergeCell ref="I62:I63"/>
    <mergeCell ref="M62:M63"/>
    <mergeCell ref="O62:O63"/>
    <mergeCell ref="D62:E62"/>
    <mergeCell ref="D63:E63"/>
    <mergeCell ref="L62:L63"/>
    <mergeCell ref="N62:N63"/>
    <mergeCell ref="A64:A65"/>
    <mergeCell ref="B64:C65"/>
    <mergeCell ref="F64:F65"/>
    <mergeCell ref="I64:I65"/>
    <mergeCell ref="M64:M65"/>
    <mergeCell ref="O64:O65"/>
    <mergeCell ref="D64:E64"/>
    <mergeCell ref="D65:E65"/>
    <mergeCell ref="L64:L65"/>
    <mergeCell ref="N64:N65"/>
    <mergeCell ref="A58:A59"/>
    <mergeCell ref="B58:C59"/>
    <mergeCell ref="F58:F59"/>
    <mergeCell ref="I58:I59"/>
    <mergeCell ref="M58:M59"/>
    <mergeCell ref="O58:O59"/>
    <mergeCell ref="D58:E58"/>
    <mergeCell ref="D59:E59"/>
    <mergeCell ref="L58:L59"/>
    <mergeCell ref="N58:N59"/>
    <mergeCell ref="A60:A61"/>
    <mergeCell ref="B60:C61"/>
    <mergeCell ref="F60:F61"/>
    <mergeCell ref="I60:I61"/>
    <mergeCell ref="M60:M61"/>
    <mergeCell ref="O60:O61"/>
    <mergeCell ref="D60:E60"/>
    <mergeCell ref="D61:E61"/>
    <mergeCell ref="L60:L61"/>
    <mergeCell ref="N60:N61"/>
    <mergeCell ref="A54:A55"/>
    <mergeCell ref="B54:C55"/>
    <mergeCell ref="F54:F55"/>
    <mergeCell ref="I54:I55"/>
    <mergeCell ref="M54:M55"/>
    <mergeCell ref="O54:O55"/>
    <mergeCell ref="D54:E54"/>
    <mergeCell ref="D55:E55"/>
    <mergeCell ref="L54:L55"/>
    <mergeCell ref="N54:N55"/>
    <mergeCell ref="A56:A57"/>
    <mergeCell ref="B56:C57"/>
    <mergeCell ref="F56:F57"/>
    <mergeCell ref="I56:I57"/>
    <mergeCell ref="M56:M57"/>
    <mergeCell ref="O56:O57"/>
    <mergeCell ref="D56:E56"/>
    <mergeCell ref="D57:E57"/>
    <mergeCell ref="L56:L57"/>
    <mergeCell ref="N56:N57"/>
    <mergeCell ref="A50:A51"/>
    <mergeCell ref="B50:C51"/>
    <mergeCell ref="F50:F51"/>
    <mergeCell ref="I50:I51"/>
    <mergeCell ref="M50:M51"/>
    <mergeCell ref="O50:O51"/>
    <mergeCell ref="D50:E50"/>
    <mergeCell ref="D51:E51"/>
    <mergeCell ref="L50:L51"/>
    <mergeCell ref="N50:N51"/>
    <mergeCell ref="A52:A53"/>
    <mergeCell ref="B52:C53"/>
    <mergeCell ref="F52:F53"/>
    <mergeCell ref="I52:I53"/>
    <mergeCell ref="M52:M53"/>
    <mergeCell ref="O52:O53"/>
    <mergeCell ref="D52:E52"/>
    <mergeCell ref="D53:E53"/>
    <mergeCell ref="L52:L53"/>
    <mergeCell ref="N52:N53"/>
    <mergeCell ref="A46:A47"/>
    <mergeCell ref="B46:C47"/>
    <mergeCell ref="F46:F47"/>
    <mergeCell ref="I46:I47"/>
    <mergeCell ref="M46:M47"/>
    <mergeCell ref="O46:O47"/>
    <mergeCell ref="D46:E46"/>
    <mergeCell ref="D47:E47"/>
    <mergeCell ref="L46:L47"/>
    <mergeCell ref="N46:N47"/>
    <mergeCell ref="A48:A49"/>
    <mergeCell ref="B48:C49"/>
    <mergeCell ref="F48:F49"/>
    <mergeCell ref="I48:I49"/>
    <mergeCell ref="M48:M49"/>
    <mergeCell ref="O48:O49"/>
    <mergeCell ref="D48:E48"/>
    <mergeCell ref="D49:E49"/>
    <mergeCell ref="L48:L49"/>
    <mergeCell ref="N48:N49"/>
    <mergeCell ref="A42:A43"/>
    <mergeCell ref="B42:C43"/>
    <mergeCell ref="F42:F43"/>
    <mergeCell ref="I42:I43"/>
    <mergeCell ref="M42:M43"/>
    <mergeCell ref="O42:O43"/>
    <mergeCell ref="D42:E42"/>
    <mergeCell ref="D43:E43"/>
    <mergeCell ref="L42:L43"/>
    <mergeCell ref="N42:N43"/>
    <mergeCell ref="A44:A45"/>
    <mergeCell ref="B44:C45"/>
    <mergeCell ref="F44:F45"/>
    <mergeCell ref="I44:I45"/>
    <mergeCell ref="M44:M45"/>
    <mergeCell ref="O44:O45"/>
    <mergeCell ref="D44:E44"/>
    <mergeCell ref="D45:E45"/>
    <mergeCell ref="L44:L45"/>
    <mergeCell ref="N44:N45"/>
    <mergeCell ref="A38:A39"/>
    <mergeCell ref="B38:C39"/>
    <mergeCell ref="F38:F39"/>
    <mergeCell ref="I38:I39"/>
    <mergeCell ref="M38:M39"/>
    <mergeCell ref="O38:O39"/>
    <mergeCell ref="D38:E38"/>
    <mergeCell ref="D39:E39"/>
    <mergeCell ref="L38:L39"/>
    <mergeCell ref="N38:N39"/>
    <mergeCell ref="A40:A41"/>
    <mergeCell ref="B40:C41"/>
    <mergeCell ref="F40:F41"/>
    <mergeCell ref="I40:I41"/>
    <mergeCell ref="M40:M41"/>
    <mergeCell ref="O40:O41"/>
    <mergeCell ref="D40:E40"/>
    <mergeCell ref="D41:E41"/>
    <mergeCell ref="L40:L41"/>
    <mergeCell ref="N40:N41"/>
    <mergeCell ref="A34:A35"/>
    <mergeCell ref="B34:C35"/>
    <mergeCell ref="F34:F35"/>
    <mergeCell ref="I34:I35"/>
    <mergeCell ref="M34:M35"/>
    <mergeCell ref="O34:O35"/>
    <mergeCell ref="D35:E35"/>
    <mergeCell ref="L34:L35"/>
    <mergeCell ref="N34:N35"/>
    <mergeCell ref="D34:E34"/>
    <mergeCell ref="A36:A37"/>
    <mergeCell ref="B36:C37"/>
    <mergeCell ref="F36:F37"/>
    <mergeCell ref="I36:I37"/>
    <mergeCell ref="M36:M37"/>
    <mergeCell ref="O36:O37"/>
    <mergeCell ref="D36:E36"/>
    <mergeCell ref="D37:E37"/>
    <mergeCell ref="L36:L37"/>
    <mergeCell ref="N36:N37"/>
    <mergeCell ref="A30:A31"/>
    <mergeCell ref="B30:C31"/>
    <mergeCell ref="F30:F31"/>
    <mergeCell ref="I30:I31"/>
    <mergeCell ref="M30:M31"/>
    <mergeCell ref="O30:O31"/>
    <mergeCell ref="L30:L31"/>
    <mergeCell ref="N30:N31"/>
    <mergeCell ref="A32:A33"/>
    <mergeCell ref="B32:C33"/>
    <mergeCell ref="F32:F33"/>
    <mergeCell ref="I32:I33"/>
    <mergeCell ref="M32:M33"/>
    <mergeCell ref="O32:O33"/>
    <mergeCell ref="L32:L33"/>
    <mergeCell ref="N32:N33"/>
    <mergeCell ref="D32:E32"/>
    <mergeCell ref="D33:E33"/>
    <mergeCell ref="I26:I27"/>
    <mergeCell ref="M26:M27"/>
    <mergeCell ref="O26:O27"/>
    <mergeCell ref="A28:A29"/>
    <mergeCell ref="B28:C29"/>
    <mergeCell ref="F28:F29"/>
    <mergeCell ref="I28:I29"/>
    <mergeCell ref="M28:M29"/>
    <mergeCell ref="O28:O29"/>
    <mergeCell ref="A26:A27"/>
    <mergeCell ref="B26:C27"/>
    <mergeCell ref="F26:F27"/>
    <mergeCell ref="B19:C19"/>
    <mergeCell ref="B20:C20"/>
    <mergeCell ref="B21:C21"/>
    <mergeCell ref="B22:C22"/>
    <mergeCell ref="B23:C23"/>
    <mergeCell ref="D23:E23"/>
    <mergeCell ref="D24:E24"/>
    <mergeCell ref="D25:E25"/>
    <mergeCell ref="A3:B3"/>
    <mergeCell ref="A4:B4"/>
    <mergeCell ref="A5:B5"/>
    <mergeCell ref="A6:B6"/>
    <mergeCell ref="B24:C24"/>
    <mergeCell ref="B25:C25"/>
    <mergeCell ref="D8:E8"/>
    <mergeCell ref="D19:E19"/>
    <mergeCell ref="D20:E20"/>
    <mergeCell ref="D21:E21"/>
    <mergeCell ref="D22:E22"/>
    <mergeCell ref="C3:H3"/>
    <mergeCell ref="C4:H4"/>
    <mergeCell ref="C5:H5"/>
    <mergeCell ref="C6:H6"/>
    <mergeCell ref="A8:C8"/>
    <mergeCell ref="D26:E26"/>
    <mergeCell ref="D27:E27"/>
    <mergeCell ref="D28:E28"/>
    <mergeCell ref="D29:E29"/>
    <mergeCell ref="D30:E30"/>
    <mergeCell ref="D31:E31"/>
    <mergeCell ref="M21:N21"/>
    <mergeCell ref="M22:N22"/>
    <mergeCell ref="M23:N23"/>
    <mergeCell ref="M24:N24"/>
    <mergeCell ref="M19:N19"/>
    <mergeCell ref="L28:L29"/>
    <mergeCell ref="N28:N29"/>
    <mergeCell ref="L26:L27"/>
    <mergeCell ref="N26:N27"/>
  </mergeCells>
  <printOptions/>
  <pageMargins left="0.7" right="0.7" top="0.32" bottom="0.32" header="0.3" footer="0.3"/>
  <pageSetup fitToHeight="1" fitToWidth="1" horizontalDpi="600" verticalDpi="6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КНОпка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2018-04-12T18:09:27Z</cp:lastPrinted>
  <dcterms:created xsi:type="dcterms:W3CDTF">2017-02-14T06:48:35Z</dcterms:created>
  <dcterms:modified xsi:type="dcterms:W3CDTF">2022-03-14T07:06:12Z</dcterms:modified>
  <cp:category/>
  <cp:version/>
  <cp:contentType/>
  <cp:contentStatus/>
</cp:coreProperties>
</file>