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00"/>
  </bookViews>
  <sheets>
    <sheet name="04.02.20  (2)" sheetId="1" r:id="rId1"/>
  </sheets>
  <calcPr calcId="144525"/>
</workbook>
</file>

<file path=xl/calcChain.xml><?xml version="1.0" encoding="utf-8"?>
<calcChain xmlns="http://schemas.openxmlformats.org/spreadsheetml/2006/main">
  <c r="I26" i="1" l="1"/>
  <c r="I30" i="1"/>
  <c r="K65" i="1"/>
  <c r="I64" i="1"/>
  <c r="K63" i="1"/>
  <c r="I62" i="1"/>
  <c r="K61" i="1"/>
  <c r="I60" i="1"/>
  <c r="K59" i="1"/>
  <c r="I58" i="1"/>
  <c r="K57" i="1"/>
  <c r="I56" i="1"/>
  <c r="K55" i="1"/>
  <c r="I54" i="1"/>
  <c r="K53" i="1"/>
  <c r="I52" i="1"/>
  <c r="K51" i="1"/>
  <c r="I50" i="1"/>
  <c r="K49" i="1"/>
  <c r="I48" i="1"/>
  <c r="K47" i="1"/>
  <c r="I46" i="1"/>
  <c r="K45" i="1"/>
  <c r="I44" i="1"/>
  <c r="K43" i="1"/>
  <c r="I42" i="1"/>
  <c r="K41" i="1"/>
  <c r="I40" i="1"/>
  <c r="K39" i="1"/>
  <c r="I38" i="1"/>
  <c r="K37" i="1"/>
  <c r="I36" i="1"/>
  <c r="K35" i="1"/>
  <c r="I34" i="1"/>
  <c r="K33" i="1"/>
  <c r="I32" i="1"/>
  <c r="K31" i="1"/>
  <c r="K29" i="1"/>
  <c r="I28" i="1"/>
  <c r="K27" i="1"/>
  <c r="G24" i="1"/>
  <c r="G23" i="1"/>
  <c r="G22" i="1"/>
  <c r="G21" i="1"/>
  <c r="G20" i="1"/>
  <c r="H33" i="1" s="1"/>
  <c r="I33" i="1" s="1"/>
  <c r="H13" i="1"/>
  <c r="G13" i="1"/>
  <c r="F13" i="1"/>
  <c r="I13" i="1" s="1"/>
  <c r="H12" i="1"/>
  <c r="G12" i="1"/>
  <c r="F12" i="1"/>
  <c r="I12" i="1" s="1"/>
  <c r="H11" i="1"/>
  <c r="G11" i="1"/>
  <c r="F11" i="1"/>
  <c r="I11" i="1" s="1"/>
  <c r="H10" i="1"/>
  <c r="G10" i="1"/>
  <c r="F10" i="1"/>
  <c r="I10" i="1" s="1"/>
  <c r="G9" i="1"/>
  <c r="F9" i="1"/>
  <c r="H28" i="1" l="1"/>
  <c r="H29" i="1"/>
  <c r="I29" i="1" s="1"/>
  <c r="H15" i="1"/>
  <c r="H21" i="1"/>
  <c r="H22" i="1"/>
  <c r="H27" i="1"/>
  <c r="I27" i="1" s="1"/>
  <c r="H16" i="1"/>
  <c r="J28" i="1"/>
  <c r="H34" i="1"/>
  <c r="J34" i="1" s="1"/>
  <c r="H35" i="1"/>
  <c r="I35" i="1" s="1"/>
  <c r="H36" i="1"/>
  <c r="J36" i="1" s="1"/>
  <c r="H37" i="1"/>
  <c r="I37" i="1" s="1"/>
  <c r="H38" i="1"/>
  <c r="J38" i="1" s="1"/>
  <c r="H39" i="1"/>
  <c r="I39" i="1" s="1"/>
  <c r="H40" i="1"/>
  <c r="J40" i="1" s="1"/>
  <c r="H41" i="1"/>
  <c r="I41" i="1" s="1"/>
  <c r="H42" i="1"/>
  <c r="J42" i="1" s="1"/>
  <c r="H43" i="1"/>
  <c r="I43" i="1" s="1"/>
  <c r="H44" i="1"/>
  <c r="J44" i="1" s="1"/>
  <c r="H45" i="1"/>
  <c r="I45" i="1" s="1"/>
  <c r="H46" i="1"/>
  <c r="J46" i="1" s="1"/>
  <c r="H47" i="1"/>
  <c r="I47" i="1" s="1"/>
  <c r="H48" i="1"/>
  <c r="J48" i="1" s="1"/>
  <c r="H49" i="1"/>
  <c r="I49" i="1" s="1"/>
  <c r="H50" i="1"/>
  <c r="J50" i="1" s="1"/>
  <c r="H51" i="1"/>
  <c r="I51" i="1" s="1"/>
  <c r="H52" i="1"/>
  <c r="J52" i="1" s="1"/>
  <c r="H53" i="1"/>
  <c r="I53" i="1" s="1"/>
  <c r="H54" i="1"/>
  <c r="J54" i="1" s="1"/>
  <c r="H55" i="1"/>
  <c r="I55" i="1" s="1"/>
  <c r="H56" i="1"/>
  <c r="J56" i="1" s="1"/>
  <c r="H57" i="1"/>
  <c r="I57" i="1" s="1"/>
  <c r="H58" i="1"/>
  <c r="J58" i="1" s="1"/>
  <c r="H59" i="1"/>
  <c r="I59" i="1" s="1"/>
  <c r="H60" i="1"/>
  <c r="J60" i="1" s="1"/>
  <c r="H61" i="1"/>
  <c r="I61" i="1" s="1"/>
  <c r="H62" i="1"/>
  <c r="J62" i="1" s="1"/>
  <c r="H63" i="1"/>
  <c r="I63" i="1" s="1"/>
  <c r="H64" i="1"/>
  <c r="J64" i="1" s="1"/>
  <c r="H65" i="1"/>
  <c r="I65" i="1" s="1"/>
  <c r="H30" i="1"/>
  <c r="J30" i="1" s="1"/>
  <c r="H26" i="1"/>
  <c r="J26" i="1" s="1"/>
  <c r="J63" i="1"/>
  <c r="J59" i="1"/>
  <c r="J55" i="1"/>
  <c r="J51" i="1"/>
  <c r="J49" i="1"/>
  <c r="J47" i="1"/>
  <c r="J43" i="1"/>
  <c r="J39" i="1"/>
  <c r="J35" i="1"/>
  <c r="J33" i="1"/>
  <c r="H23" i="1"/>
  <c r="J22" i="1"/>
  <c r="M22" i="1" s="1"/>
  <c r="H24" i="1"/>
  <c r="J24" i="1" s="1"/>
  <c r="M24" i="1" s="1"/>
  <c r="J21" i="1"/>
  <c r="M21" i="1" s="1"/>
  <c r="J23" i="1"/>
  <c r="M23" i="1" s="1"/>
  <c r="H31" i="1"/>
  <c r="H32" i="1"/>
  <c r="J32" i="1" s="1"/>
  <c r="J45" i="1" l="1"/>
  <c r="M44" i="1" s="1"/>
  <c r="J41" i="1"/>
  <c r="M40" i="1" s="1"/>
  <c r="N40" i="1" s="1"/>
  <c r="J37" i="1"/>
  <c r="M36" i="1" s="1"/>
  <c r="N36" i="1" s="1"/>
  <c r="J27" i="1"/>
  <c r="M26" i="1" s="1"/>
  <c r="N26" i="1" s="1"/>
  <c r="M32" i="1"/>
  <c r="N32" i="1" s="1"/>
  <c r="J29" i="1"/>
  <c r="K28" i="1" s="1"/>
  <c r="M34" i="1"/>
  <c r="N34" i="1" s="1"/>
  <c r="M48" i="1"/>
  <c r="K48" i="1"/>
  <c r="M62" i="1"/>
  <c r="K62" i="1"/>
  <c r="M58" i="1"/>
  <c r="N58" i="1" s="1"/>
  <c r="K58" i="1"/>
  <c r="M54" i="1"/>
  <c r="N54" i="1" s="1"/>
  <c r="K54" i="1"/>
  <c r="M50" i="1"/>
  <c r="K50" i="1"/>
  <c r="M46" i="1"/>
  <c r="K46" i="1"/>
  <c r="M42" i="1"/>
  <c r="N42" i="1" s="1"/>
  <c r="K42" i="1"/>
  <c r="M38" i="1"/>
  <c r="N38" i="1" s="1"/>
  <c r="K38" i="1"/>
  <c r="J53" i="1"/>
  <c r="K52" i="1" s="1"/>
  <c r="J57" i="1"/>
  <c r="K56" i="1" s="1"/>
  <c r="J61" i="1"/>
  <c r="K60" i="1" s="1"/>
  <c r="J65" i="1"/>
  <c r="M64" i="1" s="1"/>
  <c r="J31" i="1"/>
  <c r="M30" i="1" s="1"/>
  <c r="I31" i="1"/>
  <c r="K34" i="1"/>
  <c r="L34" i="1" s="1"/>
  <c r="K44" i="1" l="1"/>
  <c r="K40" i="1"/>
  <c r="L40" i="1" s="1"/>
  <c r="K36" i="1"/>
  <c r="L36" i="1" s="1"/>
  <c r="K26" i="1"/>
  <c r="L26" i="1" s="1"/>
  <c r="M28" i="1"/>
  <c r="L28" i="1" s="1"/>
  <c r="L38" i="1"/>
  <c r="L42" i="1"/>
  <c r="L54" i="1"/>
  <c r="L58" i="1"/>
  <c r="L64" i="1"/>
  <c r="N64" i="1"/>
  <c r="N30" i="1"/>
  <c r="K64" i="1"/>
  <c r="L46" i="1"/>
  <c r="N46" i="1"/>
  <c r="L50" i="1"/>
  <c r="N50" i="1"/>
  <c r="L62" i="1"/>
  <c r="N62" i="1"/>
  <c r="L44" i="1"/>
  <c r="N44" i="1"/>
  <c r="L48" i="1"/>
  <c r="N48" i="1"/>
  <c r="M52" i="1"/>
  <c r="M56" i="1"/>
  <c r="N56" i="1" s="1"/>
  <c r="M60" i="1"/>
  <c r="N60" i="1" s="1"/>
  <c r="K32" i="1"/>
  <c r="L32" i="1" s="1"/>
  <c r="K30" i="1"/>
  <c r="L30" i="1" s="1"/>
  <c r="N28" i="1" l="1"/>
  <c r="L52" i="1"/>
  <c r="N52" i="1"/>
  <c r="L60" i="1"/>
  <c r="L56" i="1"/>
</calcChain>
</file>

<file path=xl/sharedStrings.xml><?xml version="1.0" encoding="utf-8"?>
<sst xmlns="http://schemas.openxmlformats.org/spreadsheetml/2006/main" count="65" uniqueCount="48">
  <si>
    <t>Продукт</t>
  </si>
  <si>
    <t>Предел повтряемости r, %</t>
  </si>
  <si>
    <t>Относительная расширенная неопределенность U, %</t>
  </si>
  <si>
    <t>Исполнитель</t>
  </si>
  <si>
    <t>Дата:</t>
  </si>
  <si>
    <t>зерно</t>
  </si>
  <si>
    <t>№ партии</t>
  </si>
  <si>
    <t>мукомольно-крупяные изделия</t>
  </si>
  <si>
    <t>хлебобулочные изделия</t>
  </si>
  <si>
    <t>Раздел I: Градуировочный график</t>
  </si>
  <si>
    <t>макаронные изделия</t>
  </si>
  <si>
    <t>Градуировочный раствор</t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</si>
  <si>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i</t>
    </r>
  </si>
  <si>
    <r>
      <t>B</t>
    </r>
    <r>
      <rPr>
        <b/>
        <vertAlign val="subscript"/>
        <sz val="10"/>
        <rFont val="Arial"/>
        <family val="2"/>
        <charset val="204"/>
      </rPr>
      <t>i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</si>
  <si>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t>К.В.</t>
  </si>
  <si>
    <r>
      <t>lgC</t>
    </r>
    <r>
      <rPr>
        <b/>
        <vertAlign val="subscript"/>
        <sz val="10"/>
        <rFont val="Arial"/>
        <family val="2"/>
        <charset val="204"/>
      </rPr>
      <t>i</t>
    </r>
  </si>
  <si>
    <r>
      <t xml:space="preserve">log </t>
    </r>
    <r>
      <rPr>
        <b/>
        <i/>
        <sz val="10"/>
        <rFont val="Arial"/>
        <family val="2"/>
        <charset val="204"/>
      </rPr>
      <t>it</t>
    </r>
    <r>
      <rPr>
        <b/>
        <sz val="10"/>
        <rFont val="Arial"/>
        <family val="2"/>
        <charset val="204"/>
      </rPr>
      <t xml:space="preserve"> (B</t>
    </r>
    <r>
      <rPr>
        <b/>
        <vertAlign val="subscript"/>
        <sz val="10"/>
        <rFont val="Arial"/>
        <family val="2"/>
        <charset val="204"/>
      </rPr>
      <t>i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  <r>
      <rPr>
        <b/>
        <sz val="10"/>
        <rFont val="Arial"/>
        <family val="2"/>
        <charset val="204"/>
      </rPr>
      <t>)</t>
    </r>
  </si>
  <si>
    <t>масличные культуры</t>
  </si>
  <si>
    <r>
      <t>С</t>
    </r>
    <r>
      <rPr>
        <b/>
        <vertAlign val="subscript"/>
        <sz val="10"/>
        <rFont val="Arial"/>
        <family val="2"/>
        <charset val="204"/>
      </rPr>
      <t>0</t>
    </r>
  </si>
  <si>
    <t>мкг/кг</t>
  </si>
  <si>
    <t>продукты масложировой промышленности</t>
  </si>
  <si>
    <r>
      <t>С</t>
    </r>
    <r>
      <rPr>
        <b/>
        <vertAlign val="subscript"/>
        <sz val="10"/>
        <rFont val="Arial"/>
        <family val="2"/>
        <charset val="204"/>
      </rPr>
      <t>1</t>
    </r>
  </si>
  <si>
    <t>зернобобовые культуры</t>
  </si>
  <si>
    <r>
      <t>С</t>
    </r>
    <r>
      <rPr>
        <b/>
        <vertAlign val="subscript"/>
        <sz val="10"/>
        <rFont val="Arial"/>
        <family val="2"/>
        <charset val="204"/>
      </rPr>
      <t>2</t>
    </r>
    <r>
      <rPr>
        <sz val="11"/>
        <color indexed="8"/>
        <rFont val="Calibri"/>
        <family val="2"/>
        <charset val="204"/>
      </rPr>
      <t/>
    </r>
  </si>
  <si>
    <t>корм.продукция пивоваренной промышленности</t>
  </si>
  <si>
    <r>
      <t>С</t>
    </r>
    <r>
      <rPr>
        <b/>
        <vertAlign val="subscript"/>
        <sz val="10"/>
        <rFont val="Arial"/>
        <family val="2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</si>
  <si>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корм.продукция крахмалопаточной промышленности</t>
  </si>
  <si>
    <r>
      <t>С</t>
    </r>
    <r>
      <rPr>
        <b/>
        <vertAlign val="subscript"/>
        <sz val="10"/>
        <rFont val="Arial"/>
        <family val="2"/>
        <charset val="204"/>
      </rPr>
      <t>4</t>
    </r>
  </si>
  <si>
    <t>корм.продукция спиртового производства</t>
  </si>
  <si>
    <t>R =</t>
  </si>
  <si>
    <r>
      <t>Интерсепт 50% (IC</t>
    </r>
    <r>
      <rPr>
        <b/>
        <vertAlign val="subscript"/>
        <sz val="10"/>
        <rFont val="Arial"/>
        <family val="2"/>
        <charset val="204"/>
      </rPr>
      <t>50</t>
    </r>
    <r>
      <rPr>
        <b/>
        <sz val="10"/>
        <rFont val="Arial"/>
        <family val="2"/>
        <charset val="204"/>
      </rPr>
      <t>)=</t>
    </r>
  </si>
  <si>
    <t>Раздел II: Расчет массовой доли охратоксина А</t>
  </si>
  <si>
    <t>№</t>
  </si>
  <si>
    <t>Наименование образца</t>
  </si>
  <si>
    <t>Группа продуктов</t>
  </si>
  <si>
    <t>Фактор разведения</t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</si>
  <si>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p</t>
    </r>
  </si>
  <si>
    <r>
      <t xml:space="preserve">log </t>
    </r>
    <r>
      <rPr>
        <b/>
        <i/>
        <sz val="10"/>
        <rFont val="Arial"/>
        <family val="2"/>
        <charset val="204"/>
      </rPr>
      <t>it</t>
    </r>
    <r>
      <rPr>
        <b/>
        <sz val="10"/>
        <rFont val="Arial"/>
        <family val="2"/>
        <charset val="204"/>
      </rPr>
      <t xml:space="preserve"> (B</t>
    </r>
    <r>
      <rPr>
        <b/>
        <vertAlign val="subscript"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  <r>
      <rPr>
        <b/>
        <sz val="10"/>
        <rFont val="Arial"/>
        <family val="2"/>
        <charset val="204"/>
      </rPr>
      <t>)</t>
    </r>
  </si>
  <si>
    <r>
      <t>C</t>
    </r>
    <r>
      <rPr>
        <b/>
        <vertAlign val="subscript"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, мкг/кг</t>
    </r>
  </si>
  <si>
    <t>Оценка прием-
лемости в условиях повторяемости</t>
  </si>
  <si>
    <r>
      <rPr>
        <b/>
        <u/>
        <sz val="1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indexed="9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
C</t>
    </r>
    <r>
      <rPr>
        <b/>
        <vertAlign val="subscript"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±Uабс, мкг/кг</t>
    </r>
  </si>
  <si>
    <t>Примечания</t>
  </si>
  <si>
    <t>вино</t>
  </si>
  <si>
    <t>пиво</t>
  </si>
  <si>
    <t>растворимый кофе</t>
  </si>
  <si>
    <t>нерастворимый кофе</t>
  </si>
  <si>
    <t>изюм</t>
  </si>
  <si>
    <t>Определение охратоксина А. Набор " ИФА-ОХРАТОКСИН А " (1,0- 40,0 мкг/кг)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</si>
</sst>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%"/>
    <numFmt numFmtId="167" formatCode="0.0000"/>
    <numFmt numFmtId="168" formatCode="\±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1"/>
      <color theme="9" tint="0.7999816888943144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6" xfId="0" applyFont="1" applyBorder="1"/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/>
    <xf numFmtId="0" fontId="3" fillId="0" borderId="0" xfId="0" applyFont="1" applyBorder="1" applyProtection="1">
      <protection hidden="1"/>
    </xf>
    <xf numFmtId="0" fontId="0" fillId="0" borderId="0" xfId="0" applyFont="1"/>
    <xf numFmtId="0" fontId="2" fillId="0" borderId="7" xfId="0" applyFont="1" applyBorder="1" applyAlignment="1" applyProtection="1">
      <alignment vertical="center"/>
      <protection hidden="1"/>
    </xf>
    <xf numFmtId="164" fontId="2" fillId="0" borderId="8" xfId="0" applyNumberFormat="1" applyFont="1" applyBorder="1" applyAlignment="1" applyProtection="1">
      <alignment horizontal="right" vertical="center"/>
      <protection hidden="1"/>
    </xf>
    <xf numFmtId="165" fontId="2" fillId="0" borderId="9" xfId="0" applyNumberFormat="1" applyFont="1" applyFill="1" applyBorder="1" applyAlignment="1" applyProtection="1">
      <alignment horizontal="left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locked="0" hidden="1"/>
    </xf>
    <xf numFmtId="166" fontId="3" fillId="0" borderId="1" xfId="0" applyNumberFormat="1" applyFont="1" applyBorder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right" vertical="center"/>
      <protection hidden="1"/>
    </xf>
    <xf numFmtId="167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Protection="1"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3" fillId="2" borderId="4" xfId="0" applyNumberFormat="1" applyFont="1" applyFill="1" applyBorder="1" applyAlignment="1" applyProtection="1">
      <alignment horizontal="center" wrapText="1"/>
      <protection locked="0"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64" fontId="3" fillId="0" borderId="15" xfId="0" applyNumberFormat="1" applyFont="1" applyBorder="1" applyAlignment="1" applyProtection="1">
      <alignment horizontal="center"/>
      <protection hidden="1"/>
    </xf>
    <xf numFmtId="164" fontId="3" fillId="0" borderId="16" xfId="0" applyNumberFormat="1" applyFont="1" applyBorder="1" applyAlignment="1" applyProtection="1">
      <alignment horizontal="center"/>
      <protection hidden="1"/>
    </xf>
    <xf numFmtId="2" fontId="3" fillId="3" borderId="4" xfId="0" applyNumberFormat="1" applyFont="1" applyFill="1" applyBorder="1" applyAlignment="1" applyProtection="1">
      <alignment horizontal="center" wrapText="1"/>
      <protection locked="0" hidden="1"/>
    </xf>
    <xf numFmtId="165" fontId="12" fillId="2" borderId="1" xfId="1" applyNumberFormat="1" applyFont="1" applyFill="1" applyBorder="1" applyAlignment="1" applyProtection="1">
      <alignment horizontal="center"/>
      <protection locked="0" hidden="1"/>
    </xf>
    <xf numFmtId="2" fontId="3" fillId="0" borderId="5" xfId="0" applyNumberFormat="1" applyFont="1" applyBorder="1" applyAlignment="1" applyProtection="1">
      <alignment horizontal="center" vertical="center"/>
      <protection hidden="1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/>
    <xf numFmtId="49" fontId="4" fillId="2" borderId="2" xfId="0" applyNumberFormat="1" applyFont="1" applyFill="1" applyBorder="1" applyAlignment="1" applyProtection="1">
      <alignment horizontal="left"/>
      <protection locked="0" hidden="1"/>
    </xf>
    <xf numFmtId="49" fontId="4" fillId="2" borderId="3" xfId="0" applyNumberFormat="1" applyFont="1" applyFill="1" applyBorder="1" applyAlignment="1" applyProtection="1">
      <alignment horizontal="left"/>
      <protection locked="0" hidden="1"/>
    </xf>
    <xf numFmtId="49" fontId="3" fillId="2" borderId="3" xfId="0" applyNumberFormat="1" applyFont="1" applyFill="1" applyBorder="1" applyAlignment="1" applyProtection="1">
      <alignment horizontal="left"/>
      <protection locked="0" hidden="1"/>
    </xf>
    <xf numFmtId="49" fontId="3" fillId="2" borderId="4" xfId="0" applyNumberFormat="1" applyFont="1" applyFill="1" applyBorder="1" applyAlignment="1" applyProtection="1">
      <alignment horizontal="left"/>
      <protection locked="0" hidden="1"/>
    </xf>
    <xf numFmtId="0" fontId="2" fillId="0" borderId="13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164" fontId="3" fillId="0" borderId="15" xfId="0" applyNumberFormat="1" applyFont="1" applyBorder="1" applyAlignment="1" applyProtection="1">
      <alignment horizontal="center" vertical="center"/>
      <protection hidden="1"/>
    </xf>
    <xf numFmtId="164" fontId="3" fillId="0" borderId="16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64" fontId="3" fillId="0" borderId="17" xfId="0" applyNumberFormat="1" applyFont="1" applyBorder="1" applyAlignment="1" applyProtection="1">
      <alignment horizontal="right" vertical="center"/>
      <protection hidden="1"/>
    </xf>
    <xf numFmtId="164" fontId="3" fillId="0" borderId="20" xfId="0" applyNumberFormat="1" applyFont="1" applyBorder="1" applyAlignment="1" applyProtection="1">
      <alignment horizontal="right" vertical="center"/>
      <protection hidden="1"/>
    </xf>
    <xf numFmtId="168" fontId="3" fillId="0" borderId="18" xfId="0" applyNumberFormat="1" applyFont="1" applyBorder="1" applyAlignment="1" applyProtection="1">
      <alignment horizontal="left" vertical="center"/>
      <protection hidden="1"/>
    </xf>
    <xf numFmtId="168" fontId="3" fillId="0" borderId="21" xfId="0" applyNumberFormat="1" applyFont="1" applyBorder="1" applyAlignment="1" applyProtection="1">
      <alignment horizontal="left" vertical="center"/>
      <protection hidden="1"/>
    </xf>
    <xf numFmtId="2" fontId="3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10" fillId="2" borderId="10" xfId="0" applyFont="1" applyFill="1" applyBorder="1" applyAlignment="1" applyProtection="1">
      <alignment horizontal="center" vertical="center" wrapText="1"/>
      <protection locked="0" hidden="1"/>
    </xf>
    <xf numFmtId="0" fontId="10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locked="0" hidden="1"/>
    </xf>
    <xf numFmtId="0" fontId="3" fillId="2" borderId="9" xfId="0" applyFont="1" applyFill="1" applyBorder="1" applyAlignment="1" applyProtection="1">
      <alignment horizontal="left" vertical="center" wrapText="1"/>
      <protection locked="0" hidden="1"/>
    </xf>
    <xf numFmtId="0" fontId="3" fillId="2" borderId="10" xfId="0" applyFont="1" applyFill="1" applyBorder="1" applyAlignment="1" applyProtection="1">
      <alignment horizontal="left" vertical="center" wrapText="1"/>
      <protection locked="0" hidden="1"/>
    </xf>
    <xf numFmtId="0" fontId="3" fillId="2" borderId="12" xfId="0" applyFont="1" applyFill="1" applyBorder="1" applyAlignment="1" applyProtection="1">
      <alignment horizontal="left" vertical="center" wrapText="1"/>
      <protection locked="0" hidden="1"/>
    </xf>
    <xf numFmtId="0" fontId="10" fillId="2" borderId="7" xfId="0" applyFont="1" applyFill="1" applyBorder="1" applyAlignment="1" applyProtection="1">
      <alignment horizontal="center" vertical="center" wrapText="1"/>
      <protection locked="0" hidden="1"/>
    </xf>
    <xf numFmtId="0" fontId="10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0" borderId="19" xfId="0" applyFont="1" applyBorder="1" applyAlignment="1" applyProtection="1">
      <alignment horizontal="center" vertical="center"/>
      <protection locked="0" hidden="1"/>
    </xf>
    <xf numFmtId="10" fontId="12" fillId="0" borderId="5" xfId="0" applyNumberFormat="1" applyFont="1" applyFill="1" applyBorder="1" applyAlignment="1" applyProtection="1">
      <alignment horizontal="center" vertical="center"/>
      <protection hidden="1"/>
    </xf>
    <xf numFmtId="10" fontId="3" fillId="0" borderId="19" xfId="0" applyNumberFormat="1" applyFont="1" applyBorder="1" applyAlignment="1" applyProtection="1">
      <alignment horizontal="center" vertical="center"/>
      <protection hidden="1"/>
    </xf>
    <xf numFmtId="2" fontId="3" fillId="0" borderId="7" xfId="0" applyNumberFormat="1" applyFont="1" applyBorder="1" applyAlignment="1" applyProtection="1">
      <alignment horizontal="center" vertical="center"/>
      <protection hidden="1"/>
    </xf>
    <xf numFmtId="2" fontId="3" fillId="0" borderId="1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1875008528741"/>
          <c:y val="8.1761257374144358E-2"/>
          <c:w val="0.76651505259808772"/>
          <c:h val="0.76100862632857513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og"/>
            <c:dispRSqr val="0"/>
            <c:dispEq val="0"/>
          </c:trendline>
          <c:xVal>
            <c:numRef>
              <c:f>'04.02.20  (2)'!$B$10:$B$13</c:f>
              <c:numCache>
                <c:formatCode>0.0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40</c:v>
                </c:pt>
              </c:numCache>
            </c:numRef>
          </c:xVal>
          <c:yVal>
            <c:numRef>
              <c:f>'04.02.20  (2)'!$I$10:$I$13</c:f>
              <c:numCache>
                <c:formatCode>0.00</c:formatCode>
                <c:ptCount val="4"/>
                <c:pt idx="0">
                  <c:v>0.73916034263193298</c:v>
                </c:pt>
                <c:pt idx="1">
                  <c:v>0.25456448700010603</c:v>
                </c:pt>
                <c:pt idx="2">
                  <c:v>-0.4083932531675889</c:v>
                </c:pt>
                <c:pt idx="3">
                  <c:v>-1.0170070749292701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37312"/>
        <c:axId val="29038848"/>
      </c:scatterChart>
      <c:valAx>
        <c:axId val="29037312"/>
        <c:scaling>
          <c:logBase val="10"/>
          <c:orientation val="minMax"/>
          <c:max val="100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ru-RU" b="1"/>
                  <a:t>Массовая доля охратоксина</a:t>
                </a:r>
                <a:r>
                  <a:rPr lang="ru-RU" b="1" baseline="0"/>
                  <a:t> А</a:t>
                </a:r>
                <a:r>
                  <a:rPr lang="ru-RU" b="1"/>
                  <a:t>, мкг/кг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28100673995128678"/>
              <c:y val="0.914777352830896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9038848"/>
        <c:crosses val="autoZero"/>
        <c:crossBetween val="midCat"/>
      </c:valAx>
      <c:valAx>
        <c:axId val="29038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Log </a:t>
                </a:r>
                <a:r>
                  <a:rPr lang="en-US" b="1" i="1"/>
                  <a:t>it</a:t>
                </a:r>
                <a:r>
                  <a:rPr lang="en-US" b="1"/>
                  <a:t> (B</a:t>
                </a:r>
                <a:r>
                  <a:rPr lang="en-US" b="1" baseline="-25000"/>
                  <a:t>i</a:t>
                </a:r>
                <a:r>
                  <a:rPr lang="en-US" b="1"/>
                  <a:t>/B</a:t>
                </a:r>
                <a:r>
                  <a:rPr lang="en-US" b="1" baseline="-25000"/>
                  <a:t>0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2.114789661112328E-2"/>
              <c:y val="0.33962354705661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ru-RU"/>
          </a:p>
        </c:txPr>
        <c:crossAx val="29037312"/>
        <c:crossesAt val="0.1"/>
        <c:crossBetween val="midCat"/>
        <c:majorUnit val="0.4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D$26" fmlaRange="$S$3:$S$13" noThreeD="1" val="0"/>
</file>

<file path=xl/ctrlProps/ctrlProp10.xml><?xml version="1.0" encoding="utf-8"?>
<formControlPr xmlns="http://schemas.microsoft.com/office/spreadsheetml/2009/9/main" objectType="Drop" dropLines="12" dropStyle="combo" dx="16" fmlaLink="$D$44" fmlaRange="$S$3:$S$13" noThreeD="1" val="0"/>
</file>

<file path=xl/ctrlProps/ctrlProp11.xml><?xml version="1.0" encoding="utf-8"?>
<formControlPr xmlns="http://schemas.microsoft.com/office/spreadsheetml/2009/9/main" objectType="Drop" dropLines="12" dropStyle="combo" dx="16" fmlaLink="$D$46" fmlaRange="$S$3:$S$13" noThreeD="1" val="0"/>
</file>

<file path=xl/ctrlProps/ctrlProp12.xml><?xml version="1.0" encoding="utf-8"?>
<formControlPr xmlns="http://schemas.microsoft.com/office/spreadsheetml/2009/9/main" objectType="Drop" dropLines="12" dropStyle="combo" dx="16" fmlaLink="$D$48" fmlaRange="$S$3:$S$13" noThreeD="1" val="0"/>
</file>

<file path=xl/ctrlProps/ctrlProp13.xml><?xml version="1.0" encoding="utf-8"?>
<formControlPr xmlns="http://schemas.microsoft.com/office/spreadsheetml/2009/9/main" objectType="Drop" dropLines="12" dropStyle="combo" dx="16" fmlaLink="$D$50" fmlaRange="$S$3:$S$13" noThreeD="1" val="0"/>
</file>

<file path=xl/ctrlProps/ctrlProp14.xml><?xml version="1.0" encoding="utf-8"?>
<formControlPr xmlns="http://schemas.microsoft.com/office/spreadsheetml/2009/9/main" objectType="Drop" dropLines="12" dropStyle="combo" dx="16" fmlaLink="$D$52" fmlaRange="$S$3:$S$13" noThreeD="1" val="0"/>
</file>

<file path=xl/ctrlProps/ctrlProp15.xml><?xml version="1.0" encoding="utf-8"?>
<formControlPr xmlns="http://schemas.microsoft.com/office/spreadsheetml/2009/9/main" objectType="Drop" dropLines="12" dropStyle="combo" dx="16" fmlaLink="$D$54" fmlaRange="$S$3:$S$13" noThreeD="1" val="0"/>
</file>

<file path=xl/ctrlProps/ctrlProp16.xml><?xml version="1.0" encoding="utf-8"?>
<formControlPr xmlns="http://schemas.microsoft.com/office/spreadsheetml/2009/9/main" objectType="Drop" dropLines="12" dropStyle="combo" dx="16" fmlaLink="$D$56" fmlaRange="$S$3:$S$13" noThreeD="1" val="0"/>
</file>

<file path=xl/ctrlProps/ctrlProp17.xml><?xml version="1.0" encoding="utf-8"?>
<formControlPr xmlns="http://schemas.microsoft.com/office/spreadsheetml/2009/9/main" objectType="Drop" dropLines="12" dropStyle="combo" dx="16" fmlaLink="$D$58" fmlaRange="$S$3:$S$13" noThreeD="1" val="0"/>
</file>

<file path=xl/ctrlProps/ctrlProp18.xml><?xml version="1.0" encoding="utf-8"?>
<formControlPr xmlns="http://schemas.microsoft.com/office/spreadsheetml/2009/9/main" objectType="Drop" dropLines="12" dropStyle="combo" dx="16" fmlaLink="$D$60" fmlaRange="$S$3:$S$13" noThreeD="1" val="0"/>
</file>

<file path=xl/ctrlProps/ctrlProp19.xml><?xml version="1.0" encoding="utf-8"?>
<formControlPr xmlns="http://schemas.microsoft.com/office/spreadsheetml/2009/9/main" objectType="Drop" dropLines="12" dropStyle="combo" dx="16" fmlaLink="$D$62" fmlaRange="$S$3:$S$13" noThreeD="1" val="0"/>
</file>

<file path=xl/ctrlProps/ctrlProp2.xml><?xml version="1.0" encoding="utf-8"?>
<formControlPr xmlns="http://schemas.microsoft.com/office/spreadsheetml/2009/9/main" objectType="Drop" dropLines="12" dropStyle="combo" dx="16" fmlaLink="$D$28" fmlaRange="$S$3:$S$13" noThreeD="1" val="0"/>
</file>

<file path=xl/ctrlProps/ctrlProp20.xml><?xml version="1.0" encoding="utf-8"?>
<formControlPr xmlns="http://schemas.microsoft.com/office/spreadsheetml/2009/9/main" objectType="Drop" dropLines="12" dropStyle="combo" dx="16" fmlaLink="$D$64" fmlaRange="$S$3:$S$13" noThreeD="1" val="0"/>
</file>

<file path=xl/ctrlProps/ctrlProp3.xml><?xml version="1.0" encoding="utf-8"?>
<formControlPr xmlns="http://schemas.microsoft.com/office/spreadsheetml/2009/9/main" objectType="Drop" dropLines="12" dropStyle="combo" dx="16" fmlaLink="$D$30" fmlaRange="$S$3:$S$13" noThreeD="1" val="0"/>
</file>

<file path=xl/ctrlProps/ctrlProp4.xml><?xml version="1.0" encoding="utf-8"?>
<formControlPr xmlns="http://schemas.microsoft.com/office/spreadsheetml/2009/9/main" objectType="Drop" dropLines="12" dropStyle="combo" dx="16" fmlaLink="$D$32" fmlaRange="$S$3:$S$13" noThreeD="1" val="0"/>
</file>

<file path=xl/ctrlProps/ctrlProp5.xml><?xml version="1.0" encoding="utf-8"?>
<formControlPr xmlns="http://schemas.microsoft.com/office/spreadsheetml/2009/9/main" objectType="Drop" dropLines="12" dropStyle="combo" dx="16" fmlaLink="$D$34" fmlaRange="$S$3:$S$13" noThreeD="1" val="0"/>
</file>

<file path=xl/ctrlProps/ctrlProp6.xml><?xml version="1.0" encoding="utf-8"?>
<formControlPr xmlns="http://schemas.microsoft.com/office/spreadsheetml/2009/9/main" objectType="Drop" dropLines="12" dropStyle="combo" dx="16" fmlaLink="$D$36" fmlaRange="$S$3:$S$13" noThreeD="1" sel="2" val="0"/>
</file>

<file path=xl/ctrlProps/ctrlProp7.xml><?xml version="1.0" encoding="utf-8"?>
<formControlPr xmlns="http://schemas.microsoft.com/office/spreadsheetml/2009/9/main" objectType="Drop" dropLines="12" dropStyle="combo" dx="16" fmlaLink="$D$38" fmlaRange="$S$3:$S$13" noThreeD="1" val="0"/>
</file>

<file path=xl/ctrlProps/ctrlProp8.xml><?xml version="1.0" encoding="utf-8"?>
<formControlPr xmlns="http://schemas.microsoft.com/office/spreadsheetml/2009/9/main" objectType="Drop" dropLines="12" dropStyle="combo" dx="16" fmlaLink="$D$40" fmlaRange="$S$3:$S$13" noThreeD="1" val="0"/>
</file>

<file path=xl/ctrlProps/ctrlProp9.xml><?xml version="1.0" encoding="utf-8"?>
<formControlPr xmlns="http://schemas.microsoft.com/office/spreadsheetml/2009/9/main" objectType="Drop" dropLines="12" dropStyle="combo" dx="16" fmlaLink="$D$42" fmlaRange="$S$3:$S$13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104775</xdr:rowOff>
    </xdr:from>
    <xdr:to>
      <xdr:col>14</xdr:col>
      <xdr:colOff>1752600</xdr:colOff>
      <xdr:row>16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57150</xdr:rowOff>
        </xdr:from>
        <xdr:to>
          <xdr:col>5</xdr:col>
          <xdr:colOff>9525</xdr:colOff>
          <xdr:row>26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57150</xdr:rowOff>
        </xdr:from>
        <xdr:to>
          <xdr:col>5</xdr:col>
          <xdr:colOff>9525</xdr:colOff>
          <xdr:row>28</xdr:row>
          <xdr:rowOff>152400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57150</xdr:rowOff>
        </xdr:from>
        <xdr:to>
          <xdr:col>5</xdr:col>
          <xdr:colOff>9525</xdr:colOff>
          <xdr:row>30</xdr:row>
          <xdr:rowOff>152400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57150</xdr:rowOff>
        </xdr:from>
        <xdr:to>
          <xdr:col>5</xdr:col>
          <xdr:colOff>9525</xdr:colOff>
          <xdr:row>32</xdr:row>
          <xdr:rowOff>152400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57150</xdr:rowOff>
        </xdr:from>
        <xdr:to>
          <xdr:col>5</xdr:col>
          <xdr:colOff>9525</xdr:colOff>
          <xdr:row>34</xdr:row>
          <xdr:rowOff>152400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57150</xdr:rowOff>
        </xdr:from>
        <xdr:to>
          <xdr:col>5</xdr:col>
          <xdr:colOff>9525</xdr:colOff>
          <xdr:row>36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57150</xdr:rowOff>
        </xdr:from>
        <xdr:to>
          <xdr:col>5</xdr:col>
          <xdr:colOff>9525</xdr:colOff>
          <xdr:row>38</xdr:row>
          <xdr:rowOff>152400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39</xdr:row>
          <xdr:rowOff>57150</xdr:rowOff>
        </xdr:from>
        <xdr:to>
          <xdr:col>5</xdr:col>
          <xdr:colOff>9525</xdr:colOff>
          <xdr:row>40</xdr:row>
          <xdr:rowOff>152400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41</xdr:row>
          <xdr:rowOff>57150</xdr:rowOff>
        </xdr:from>
        <xdr:to>
          <xdr:col>5</xdr:col>
          <xdr:colOff>9525</xdr:colOff>
          <xdr:row>42</xdr:row>
          <xdr:rowOff>152400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57150</xdr:rowOff>
        </xdr:from>
        <xdr:to>
          <xdr:col>5</xdr:col>
          <xdr:colOff>9525</xdr:colOff>
          <xdr:row>44</xdr:row>
          <xdr:rowOff>152400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45</xdr:row>
          <xdr:rowOff>57150</xdr:rowOff>
        </xdr:from>
        <xdr:to>
          <xdr:col>5</xdr:col>
          <xdr:colOff>9525</xdr:colOff>
          <xdr:row>46</xdr:row>
          <xdr:rowOff>152400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47</xdr:row>
          <xdr:rowOff>57150</xdr:rowOff>
        </xdr:from>
        <xdr:to>
          <xdr:col>5</xdr:col>
          <xdr:colOff>9525</xdr:colOff>
          <xdr:row>48</xdr:row>
          <xdr:rowOff>152400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49</xdr:row>
          <xdr:rowOff>57150</xdr:rowOff>
        </xdr:from>
        <xdr:to>
          <xdr:col>5</xdr:col>
          <xdr:colOff>9525</xdr:colOff>
          <xdr:row>50</xdr:row>
          <xdr:rowOff>152400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51</xdr:row>
          <xdr:rowOff>57150</xdr:rowOff>
        </xdr:from>
        <xdr:to>
          <xdr:col>5</xdr:col>
          <xdr:colOff>9525</xdr:colOff>
          <xdr:row>52</xdr:row>
          <xdr:rowOff>152400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53</xdr:row>
          <xdr:rowOff>57150</xdr:rowOff>
        </xdr:from>
        <xdr:to>
          <xdr:col>5</xdr:col>
          <xdr:colOff>9525</xdr:colOff>
          <xdr:row>54</xdr:row>
          <xdr:rowOff>152400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55</xdr:row>
          <xdr:rowOff>57150</xdr:rowOff>
        </xdr:from>
        <xdr:to>
          <xdr:col>5</xdr:col>
          <xdr:colOff>9525</xdr:colOff>
          <xdr:row>56</xdr:row>
          <xdr:rowOff>152400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57</xdr:row>
          <xdr:rowOff>57150</xdr:rowOff>
        </xdr:from>
        <xdr:to>
          <xdr:col>5</xdr:col>
          <xdr:colOff>9525</xdr:colOff>
          <xdr:row>58</xdr:row>
          <xdr:rowOff>152400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59</xdr:row>
          <xdr:rowOff>57150</xdr:rowOff>
        </xdr:from>
        <xdr:to>
          <xdr:col>5</xdr:col>
          <xdr:colOff>9525</xdr:colOff>
          <xdr:row>60</xdr:row>
          <xdr:rowOff>152400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61</xdr:row>
          <xdr:rowOff>57150</xdr:rowOff>
        </xdr:from>
        <xdr:to>
          <xdr:col>5</xdr:col>
          <xdr:colOff>9525</xdr:colOff>
          <xdr:row>62</xdr:row>
          <xdr:rowOff>152400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63</xdr:row>
          <xdr:rowOff>57150</xdr:rowOff>
        </xdr:from>
        <xdr:to>
          <xdr:col>5</xdr:col>
          <xdr:colOff>9525</xdr:colOff>
          <xdr:row>64</xdr:row>
          <xdr:rowOff>152400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topLeftCell="B1" zoomScale="90" zoomScaleNormal="90" workbookViewId="0">
      <selection activeCell="H16" sqref="H16"/>
    </sheetView>
  </sheetViews>
  <sheetFormatPr defaultRowHeight="15" x14ac:dyDescent="0.25"/>
  <cols>
    <col min="1" max="1" width="3.42578125" style="13" customWidth="1"/>
    <col min="2" max="2" width="11.42578125" style="13" customWidth="1"/>
    <col min="3" max="3" width="16.42578125" style="13" customWidth="1"/>
    <col min="4" max="10" width="13.5703125" style="13" customWidth="1"/>
    <col min="11" max="11" width="13.5703125" style="13" hidden="1" customWidth="1"/>
    <col min="12" max="12" width="22.85546875" style="13" customWidth="1"/>
    <col min="13" max="14" width="13.5703125" style="13" customWidth="1"/>
    <col min="15" max="15" width="28.5703125" style="13" customWidth="1"/>
    <col min="17" max="17" width="9.140625" customWidth="1"/>
    <col min="18" max="18" width="9.140625" hidden="1" customWidth="1"/>
    <col min="19" max="19" width="33.28515625" hidden="1" customWidth="1"/>
    <col min="20" max="20" width="27.85546875" hidden="1" customWidth="1"/>
    <col min="21" max="21" width="48.85546875" hidden="1" customWidth="1"/>
    <col min="22" max="22" width="9.140625" customWidth="1"/>
  </cols>
  <sheetData>
    <row r="1" spans="1:21" ht="15.75" x14ac:dyDescent="0.25">
      <c r="A1" s="1" t="s">
        <v>47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5" customHeight="1" x14ac:dyDescent="0.25">
      <c r="A2" s="3"/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S2" s="5" t="s">
        <v>0</v>
      </c>
      <c r="T2" s="6" t="s">
        <v>1</v>
      </c>
      <c r="U2" s="6" t="s">
        <v>2</v>
      </c>
    </row>
    <row r="3" spans="1:21" x14ac:dyDescent="0.25">
      <c r="A3" s="62" t="s">
        <v>3</v>
      </c>
      <c r="B3" s="63"/>
      <c r="C3" s="64"/>
      <c r="D3" s="65"/>
      <c r="E3" s="65"/>
      <c r="F3" s="66"/>
      <c r="G3" s="66"/>
      <c r="H3" s="67"/>
      <c r="I3" s="7"/>
      <c r="J3" s="3"/>
      <c r="K3" s="3"/>
      <c r="L3" s="3"/>
      <c r="M3" s="3"/>
      <c r="N3" s="3"/>
      <c r="O3" s="3"/>
      <c r="R3">
        <v>1</v>
      </c>
    </row>
    <row r="4" spans="1:21" x14ac:dyDescent="0.25">
      <c r="A4" s="62" t="s">
        <v>4</v>
      </c>
      <c r="B4" s="63"/>
      <c r="C4" s="64"/>
      <c r="D4" s="65"/>
      <c r="E4" s="65"/>
      <c r="F4" s="66"/>
      <c r="G4" s="66"/>
      <c r="H4" s="67"/>
      <c r="I4" s="7"/>
      <c r="J4" s="3"/>
      <c r="K4" s="3"/>
      <c r="L4" s="3"/>
      <c r="M4" s="3"/>
      <c r="N4" s="3"/>
      <c r="O4" s="3"/>
      <c r="R4">
        <v>2</v>
      </c>
      <c r="S4" t="s">
        <v>5</v>
      </c>
      <c r="T4">
        <v>26.9</v>
      </c>
      <c r="U4">
        <v>18</v>
      </c>
    </row>
    <row r="5" spans="1:21" x14ac:dyDescent="0.25">
      <c r="A5" s="62" t="s">
        <v>6</v>
      </c>
      <c r="B5" s="63"/>
      <c r="C5" s="64"/>
      <c r="D5" s="65"/>
      <c r="E5" s="65"/>
      <c r="F5" s="66"/>
      <c r="G5" s="66"/>
      <c r="H5" s="67"/>
      <c r="I5" s="7"/>
      <c r="J5" s="3"/>
      <c r="K5" s="3"/>
      <c r="L5" s="3"/>
      <c r="M5" s="3"/>
      <c r="N5" s="3"/>
      <c r="O5" s="3"/>
      <c r="R5">
        <v>3</v>
      </c>
      <c r="S5" t="s">
        <v>7</v>
      </c>
      <c r="T5">
        <v>26.9</v>
      </c>
      <c r="U5">
        <v>18</v>
      </c>
    </row>
    <row r="6" spans="1:21" x14ac:dyDescent="0.25">
      <c r="A6" s="70"/>
      <c r="B6" s="63"/>
      <c r="C6" s="64"/>
      <c r="D6" s="65"/>
      <c r="E6" s="65"/>
      <c r="F6" s="66"/>
      <c r="G6" s="66"/>
      <c r="H6" s="67"/>
      <c r="I6" s="7"/>
      <c r="J6" s="3"/>
      <c r="K6" s="3"/>
      <c r="L6" s="3"/>
      <c r="M6" s="3"/>
      <c r="N6" s="3"/>
      <c r="O6" s="3"/>
      <c r="R6">
        <v>4</v>
      </c>
      <c r="S6" t="s">
        <v>8</v>
      </c>
      <c r="T6">
        <v>26.9</v>
      </c>
      <c r="U6">
        <v>18</v>
      </c>
    </row>
    <row r="7" spans="1:21" ht="15.75" x14ac:dyDescent="0.25">
      <c r="A7" s="8" t="s">
        <v>9</v>
      </c>
      <c r="B7" s="9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R7">
        <v>5</v>
      </c>
      <c r="S7" t="s">
        <v>10</v>
      </c>
      <c r="T7">
        <v>26.9</v>
      </c>
      <c r="U7">
        <v>18</v>
      </c>
    </row>
    <row r="8" spans="1:21" x14ac:dyDescent="0.25">
      <c r="A8" s="75" t="s">
        <v>11</v>
      </c>
      <c r="B8" s="76"/>
      <c r="C8" s="76"/>
      <c r="D8" s="77" t="s">
        <v>12</v>
      </c>
      <c r="E8" s="78"/>
      <c r="F8" s="10" t="s">
        <v>13</v>
      </c>
      <c r="G8" s="10" t="s">
        <v>14</v>
      </c>
      <c r="H8" s="10" t="s">
        <v>15</v>
      </c>
      <c r="I8" s="10" t="s">
        <v>16</v>
      </c>
      <c r="J8" s="11"/>
      <c r="K8" s="12"/>
      <c r="L8" s="12"/>
      <c r="N8" s="12"/>
      <c r="O8" s="14"/>
      <c r="R8">
        <v>6</v>
      </c>
      <c r="S8" s="15" t="s">
        <v>17</v>
      </c>
      <c r="T8">
        <v>34.799999999999997</v>
      </c>
      <c r="U8">
        <v>28</v>
      </c>
    </row>
    <row r="9" spans="1:21" x14ac:dyDescent="0.25">
      <c r="A9" s="16" t="s">
        <v>18</v>
      </c>
      <c r="B9" s="17">
        <v>0</v>
      </c>
      <c r="C9" s="18" t="s">
        <v>19</v>
      </c>
      <c r="D9" s="19">
        <v>1.8169999999999999</v>
      </c>
      <c r="E9" s="19">
        <v>1.8080000000000001</v>
      </c>
      <c r="F9" s="20">
        <f t="shared" ref="F9:F13" si="0">(AVERAGE(D9:E9)/AVERAGE($D$9:$E$9))</f>
        <v>1</v>
      </c>
      <c r="G9" s="21">
        <f t="shared" ref="G9:G13" si="1">IF(OR(D9="",E9=""),"",IF(D9=E9,"0,00%",STDEV(D9:E9)/AVERAGE(D9:E9)))</f>
        <v>3.5111509134779888E-3</v>
      </c>
      <c r="H9" s="22"/>
      <c r="I9" s="23"/>
      <c r="J9" s="11"/>
      <c r="K9" s="24"/>
      <c r="L9" s="24"/>
      <c r="N9" s="25"/>
      <c r="O9" s="14"/>
      <c r="R9">
        <v>7</v>
      </c>
      <c r="S9" s="15" t="s">
        <v>20</v>
      </c>
      <c r="T9">
        <v>34.799999999999997</v>
      </c>
      <c r="U9">
        <v>28</v>
      </c>
    </row>
    <row r="10" spans="1:21" x14ac:dyDescent="0.25">
      <c r="A10" s="26" t="s">
        <v>21</v>
      </c>
      <c r="B10" s="27">
        <v>1</v>
      </c>
      <c r="C10" s="18" t="s">
        <v>19</v>
      </c>
      <c r="D10" s="19">
        <v>1.48</v>
      </c>
      <c r="E10" s="19">
        <v>1.5860000000000001</v>
      </c>
      <c r="F10" s="20">
        <f t="shared" si="0"/>
        <v>0.84579310344827585</v>
      </c>
      <c r="G10" s="21">
        <f t="shared" si="1"/>
        <v>4.8893228183805683E-2</v>
      </c>
      <c r="H10" s="22">
        <f>LOG(B10)</f>
        <v>0</v>
      </c>
      <c r="I10" s="22">
        <f>IF($E$13="","",LOG((F10/(1-F10))))</f>
        <v>0.73916034263193298</v>
      </c>
      <c r="J10" s="11"/>
      <c r="K10" s="24"/>
      <c r="L10" s="24"/>
      <c r="N10" s="24"/>
      <c r="O10" s="28"/>
      <c r="R10">
        <v>8</v>
      </c>
      <c r="S10" s="15" t="s">
        <v>22</v>
      </c>
      <c r="T10">
        <v>34.799999999999997</v>
      </c>
      <c r="U10">
        <v>28</v>
      </c>
    </row>
    <row r="11" spans="1:21" x14ac:dyDescent="0.25">
      <c r="A11" s="26" t="s">
        <v>23</v>
      </c>
      <c r="B11" s="27">
        <v>3</v>
      </c>
      <c r="C11" s="18" t="s">
        <v>19</v>
      </c>
      <c r="D11" s="19">
        <v>1.155</v>
      </c>
      <c r="E11" s="19">
        <v>1.1739999999999999</v>
      </c>
      <c r="F11" s="20">
        <f t="shared" si="0"/>
        <v>0.6424827586206896</v>
      </c>
      <c r="G11" s="21">
        <f t="shared" si="1"/>
        <v>1.1537165171785605E-2</v>
      </c>
      <c r="H11" s="22">
        <f>LOG(B11)</f>
        <v>0.47712125471966244</v>
      </c>
      <c r="I11" s="22">
        <f>IF($E$13="","",LOG((F11/(1-F11))))</f>
        <v>0.25456448700010603</v>
      </c>
      <c r="J11" s="11"/>
      <c r="K11" s="24"/>
      <c r="L11" s="24"/>
      <c r="N11" s="24"/>
      <c r="O11" s="28"/>
      <c r="R11">
        <v>9</v>
      </c>
      <c r="S11" s="15" t="s">
        <v>24</v>
      </c>
      <c r="T11">
        <v>34.799999999999997</v>
      </c>
      <c r="U11">
        <v>28</v>
      </c>
    </row>
    <row r="12" spans="1:21" x14ac:dyDescent="0.25">
      <c r="A12" s="26" t="s">
        <v>25</v>
      </c>
      <c r="B12" s="27">
        <v>10</v>
      </c>
      <c r="C12" s="18" t="s">
        <v>19</v>
      </c>
      <c r="D12" s="19">
        <v>0.498</v>
      </c>
      <c r="E12" s="19">
        <v>0.52</v>
      </c>
      <c r="F12" s="20">
        <f t="shared" si="0"/>
        <v>0.28082758620689657</v>
      </c>
      <c r="G12" s="21">
        <f t="shared" si="1"/>
        <v>3.0562572074860628E-2</v>
      </c>
      <c r="H12" s="22">
        <f>LOG(B12)</f>
        <v>1</v>
      </c>
      <c r="I12" s="22">
        <f>IF($E$13="","",LOG((F12/(1-F12))))</f>
        <v>-0.4083932531675889</v>
      </c>
      <c r="J12" s="11"/>
      <c r="K12" s="24"/>
      <c r="L12" s="24"/>
      <c r="N12" s="24"/>
      <c r="O12" s="28"/>
      <c r="R12">
        <v>10</v>
      </c>
      <c r="S12" s="15" t="s">
        <v>26</v>
      </c>
      <c r="T12">
        <v>34.799999999999997</v>
      </c>
      <c r="U12">
        <v>28</v>
      </c>
    </row>
    <row r="13" spans="1:21" x14ac:dyDescent="0.25">
      <c r="A13" s="29" t="s">
        <v>27</v>
      </c>
      <c r="B13" s="30">
        <v>40</v>
      </c>
      <c r="C13" s="61" t="s">
        <v>19</v>
      </c>
      <c r="D13" s="19">
        <v>0.156</v>
      </c>
      <c r="E13" s="19">
        <v>0.16200000000000001</v>
      </c>
      <c r="F13" s="20">
        <f t="shared" si="0"/>
        <v>8.7724137931034479E-2</v>
      </c>
      <c r="G13" s="21">
        <f t="shared" si="1"/>
        <v>2.6683274761756536E-2</v>
      </c>
      <c r="H13" s="22">
        <f>LOG(B13)</f>
        <v>1.6020599913279623</v>
      </c>
      <c r="I13" s="22">
        <f>IF($E$13="","",LOG((F13/(1-F13))))</f>
        <v>-1.0170070749292701</v>
      </c>
      <c r="J13" s="11"/>
      <c r="K13" s="24"/>
      <c r="L13" s="24"/>
      <c r="N13" s="24"/>
      <c r="O13" s="28"/>
      <c r="R13">
        <v>11</v>
      </c>
      <c r="S13" s="15" t="s">
        <v>28</v>
      </c>
      <c r="T13">
        <v>34.799999999999997</v>
      </c>
      <c r="U13">
        <v>28</v>
      </c>
    </row>
    <row r="14" spans="1:21" x14ac:dyDescent="0.25">
      <c r="A14" s="3"/>
      <c r="B14" s="3"/>
      <c r="C14" s="3"/>
      <c r="D14" s="3"/>
      <c r="E14" s="3"/>
      <c r="F14" s="3"/>
      <c r="G14" s="31"/>
      <c r="H14" s="3"/>
      <c r="I14" s="3"/>
      <c r="J14" s="32"/>
      <c r="K14" s="32"/>
      <c r="L14" s="32"/>
      <c r="M14" s="3"/>
      <c r="N14" s="3"/>
      <c r="O14" s="32"/>
    </row>
    <row r="15" spans="1:21" x14ac:dyDescent="0.25">
      <c r="A15" s="3"/>
      <c r="B15" s="3"/>
      <c r="C15" s="3"/>
      <c r="D15" s="3"/>
      <c r="E15" s="3"/>
      <c r="F15" s="3"/>
      <c r="G15" s="33" t="s">
        <v>29</v>
      </c>
      <c r="H15" s="34">
        <f>IF(E13="","",CORREL(I10:I13,H10:H13))</f>
        <v>-0.99895211225104386</v>
      </c>
      <c r="I15" s="14"/>
      <c r="J15" s="3"/>
      <c r="K15" s="3"/>
      <c r="L15" s="3"/>
      <c r="M15" s="3"/>
      <c r="N15" s="3"/>
      <c r="O15" s="3"/>
    </row>
    <row r="16" spans="1:21" x14ac:dyDescent="0.25">
      <c r="A16" s="3"/>
      <c r="B16" s="3"/>
      <c r="C16" s="3"/>
      <c r="D16" s="3"/>
      <c r="E16" s="3"/>
      <c r="F16" s="3"/>
      <c r="G16" s="35" t="s">
        <v>30</v>
      </c>
      <c r="H16" s="103">
        <f>IF(E13="","",10^(-INTERCEPT(I10:I13,H10:H13)/SLOPE(I10:I13,H10:H13)))</f>
        <v>4.7073917572603534</v>
      </c>
      <c r="I16" s="36" t="s">
        <v>19</v>
      </c>
      <c r="J16" s="3"/>
      <c r="K16" s="3"/>
      <c r="L16" s="3"/>
      <c r="M16" s="3"/>
      <c r="N16" s="3"/>
      <c r="O16" s="3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</row>
    <row r="18" spans="1:15" ht="16.5" thickBot="1" x14ac:dyDescent="0.3">
      <c r="A18" s="1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40.5" customHeight="1" x14ac:dyDescent="0.25">
      <c r="A19" s="38" t="s">
        <v>32</v>
      </c>
      <c r="B19" s="79" t="s">
        <v>33</v>
      </c>
      <c r="C19" s="79"/>
      <c r="D19" s="77" t="s">
        <v>34</v>
      </c>
      <c r="E19" s="80"/>
      <c r="F19" s="39" t="s">
        <v>35</v>
      </c>
      <c r="G19" s="39" t="s">
        <v>36</v>
      </c>
      <c r="H19" s="10" t="s">
        <v>37</v>
      </c>
      <c r="I19" s="39" t="s">
        <v>14</v>
      </c>
      <c r="J19" s="10" t="s">
        <v>38</v>
      </c>
      <c r="K19" s="10"/>
      <c r="L19" s="40" t="s">
        <v>39</v>
      </c>
      <c r="M19" s="68" t="s">
        <v>40</v>
      </c>
      <c r="N19" s="69"/>
      <c r="O19" s="41" t="s">
        <v>41</v>
      </c>
    </row>
    <row r="20" spans="1:15" x14ac:dyDescent="0.25">
      <c r="A20" s="42" t="s">
        <v>18</v>
      </c>
      <c r="B20" s="70" t="s">
        <v>11</v>
      </c>
      <c r="C20" s="70"/>
      <c r="D20" s="71"/>
      <c r="E20" s="72"/>
      <c r="F20" s="43"/>
      <c r="G20" s="44">
        <f>AVERAGE(D9:E9)</f>
        <v>1.8125</v>
      </c>
      <c r="H20" s="45"/>
      <c r="I20" s="45"/>
      <c r="J20" s="46"/>
      <c r="K20" s="46"/>
      <c r="L20" s="47"/>
      <c r="M20" s="48"/>
      <c r="N20" s="49"/>
      <c r="O20" s="50"/>
    </row>
    <row r="21" spans="1:15" x14ac:dyDescent="0.25">
      <c r="A21" s="42" t="s">
        <v>21</v>
      </c>
      <c r="B21" s="70" t="s">
        <v>11</v>
      </c>
      <c r="C21" s="70"/>
      <c r="D21" s="71"/>
      <c r="E21" s="72"/>
      <c r="F21" s="43"/>
      <c r="G21" s="44">
        <f>AVERAGE(D10:E10)</f>
        <v>1.5329999999999999</v>
      </c>
      <c r="H21" s="45">
        <f>IF(G21="","",LOG(((G21/G$20)/(1-(G21/G$20)))))</f>
        <v>0.73916034263193298</v>
      </c>
      <c r="I21" s="45"/>
      <c r="J21" s="22">
        <f>ROUND(10^((H21-INTERCEPT($I$10:$I$13,$H$10:$H$13))/SLOPE($I$10:$I$13,$H$10:$H$13)),2)</f>
        <v>1.02</v>
      </c>
      <c r="K21" s="22"/>
      <c r="L21" s="51"/>
      <c r="M21" s="73">
        <f>ROUND(J21,1)</f>
        <v>1</v>
      </c>
      <c r="N21" s="74"/>
      <c r="O21" s="52"/>
    </row>
    <row r="22" spans="1:15" x14ac:dyDescent="0.25">
      <c r="A22" s="42" t="s">
        <v>23</v>
      </c>
      <c r="B22" s="70" t="s">
        <v>11</v>
      </c>
      <c r="C22" s="70"/>
      <c r="D22" s="71"/>
      <c r="E22" s="72"/>
      <c r="F22" s="43"/>
      <c r="G22" s="44">
        <f>AVERAGE(D11:E11)</f>
        <v>1.1644999999999999</v>
      </c>
      <c r="H22" s="45">
        <f>IF(G22="","",LOG(((G22/G$20)/(1-(G22/G$20)))))</f>
        <v>0.25456448700010603</v>
      </c>
      <c r="I22" s="45"/>
      <c r="J22" s="22">
        <f>ROUND(10^((H22-INTERCEPT($I$10:$I$13,$H$10:$H$13))/SLOPE($I$10:$I$13,$H$10:$H$13)),2)</f>
        <v>2.78</v>
      </c>
      <c r="K22" s="22"/>
      <c r="L22" s="51"/>
      <c r="M22" s="73">
        <f>ROUND(J22,1)</f>
        <v>2.8</v>
      </c>
      <c r="N22" s="74"/>
      <c r="O22" s="52"/>
    </row>
    <row r="23" spans="1:15" x14ac:dyDescent="0.25">
      <c r="A23" s="42" t="s">
        <v>25</v>
      </c>
      <c r="B23" s="70" t="s">
        <v>11</v>
      </c>
      <c r="C23" s="70"/>
      <c r="D23" s="71"/>
      <c r="E23" s="72"/>
      <c r="F23" s="43"/>
      <c r="G23" s="44">
        <f>AVERAGE(D12:E12)</f>
        <v>0.50900000000000001</v>
      </c>
      <c r="H23" s="45">
        <f>IF(G23="","",LOG(((G23/G$20)/(1-(G23/G$20)))))</f>
        <v>-0.4083932531675889</v>
      </c>
      <c r="I23" s="45"/>
      <c r="J23" s="22">
        <f>ROUND(10^((H23-INTERCEPT($I$10:$I$13,$H$10:$H$13))/SLOPE($I$10:$I$13,$H$10:$H$13)),2)</f>
        <v>10.96</v>
      </c>
      <c r="K23" s="22"/>
      <c r="L23" s="51"/>
      <c r="M23" s="73">
        <f>ROUND(J23,1)</f>
        <v>11</v>
      </c>
      <c r="N23" s="74"/>
      <c r="O23" s="52"/>
    </row>
    <row r="24" spans="1:15" x14ac:dyDescent="0.25">
      <c r="A24" s="42" t="s">
        <v>27</v>
      </c>
      <c r="B24" s="70" t="s">
        <v>11</v>
      </c>
      <c r="C24" s="70"/>
      <c r="D24" s="71"/>
      <c r="E24" s="72"/>
      <c r="F24" s="43"/>
      <c r="G24" s="44">
        <f>AVERAGE(D13:E13)</f>
        <v>0.159</v>
      </c>
      <c r="H24" s="45">
        <f>IF(G24="","",LOG(((G24/G$20)/(1-(G24/G$20)))))</f>
        <v>-1.0170070749292701</v>
      </c>
      <c r="I24" s="45"/>
      <c r="J24" s="22">
        <f>ROUND(10^((H24-INTERCEPT($I$10:$I$13,$H$10:$H$13))/SLOPE($I$10:$I$13,$H$10:$H$13)),2)</f>
        <v>38.64</v>
      </c>
      <c r="K24" s="22"/>
      <c r="L24" s="51"/>
      <c r="M24" s="73">
        <f>ROUND(J24,1)</f>
        <v>38.6</v>
      </c>
      <c r="N24" s="74"/>
      <c r="O24" s="52"/>
    </row>
    <row r="25" spans="1:15" x14ac:dyDescent="0.25">
      <c r="A25" s="42"/>
      <c r="B25" s="70"/>
      <c r="C25" s="70"/>
      <c r="D25" s="71"/>
      <c r="E25" s="72"/>
      <c r="F25" s="53"/>
      <c r="G25" s="54"/>
      <c r="H25" s="45"/>
      <c r="I25" s="45"/>
      <c r="J25" s="46"/>
      <c r="K25" s="46"/>
      <c r="L25" s="47"/>
      <c r="M25" s="55"/>
      <c r="N25" s="56"/>
      <c r="O25" s="57"/>
    </row>
    <row r="26" spans="1:15" x14ac:dyDescent="0.25">
      <c r="A26" s="89">
        <v>1</v>
      </c>
      <c r="B26" s="91" t="s">
        <v>42</v>
      </c>
      <c r="C26" s="92"/>
      <c r="D26" s="95">
        <v>1</v>
      </c>
      <c r="E26" s="96"/>
      <c r="F26" s="97">
        <v>0.57999999999999996</v>
      </c>
      <c r="G26" s="58">
        <v>1.6679999999999999</v>
      </c>
      <c r="H26" s="45">
        <f>IF(G26="","",LOG(((G26/G$20)/(1-(G26/G$20)))))</f>
        <v>1.0623281992091531</v>
      </c>
      <c r="I26" s="99">
        <f>IF(OR(G27="",G26=""),"",STDEV(G26:G27)/AVERAGE(G26:G27))</f>
        <v>1.2604398951631875E-2</v>
      </c>
      <c r="J26" s="22" t="str">
        <f>IF(G26="","",IF($G$20/G26&lt;1,"менее 2,0",IF(10^((H26-INTERCEPT($I$10:$I$13,$H$10:$H$13))/SLOPE($I$10:$I$13,$H$10:$H$13))&gt;$B$13,"более "&amp;$B$13&amp;",0",IF(10^((H26-INTERCEPT($I$10:$I$13,$H$10:$H$13))/SLOPE($I$10:$I$13,$H$10:$H$13))&lt;2,"менее 2,0",ROUND(10^((H26-INTERCEPT($I$10:$I$13,$H$10:$H$13))/SLOPE($I$10:$I$13,$H$10:$H$13))*F26,2)))))</f>
        <v>менее 2,0</v>
      </c>
      <c r="K26" s="59" t="e">
        <f>ABS(J26-J27)</f>
        <v>#VALUE!</v>
      </c>
      <c r="L26" s="101" t="str">
        <f>IF(M26="","",IF(M26="более "&amp;$B$13&amp;",0","",IF(M26="менее 2,0","",IF(0.01*M26*K27&gt;K26,"приемлемо","неприемлемо"))))</f>
        <v/>
      </c>
      <c r="M26" s="81" t="str">
        <f>IF(OR(J26="",J27=""),"",IF(OR(J26="менее 2,0",J27="менее 2,0"),"менее 2,0",IF(OR(J26="более "&amp;$B$13&amp;",0",J27="более "&amp;$B$13&amp;",0"),"более "&amp;$B$13&amp;",0",ROUND(AVERAGE(J26:J27),1))))</f>
        <v>менее 2,0</v>
      </c>
      <c r="N26" s="83" t="str">
        <f>IF(M26="","",IF(M26="более "&amp;$B$13&amp;",0","",IF(M26="менее 2,0","",0.01*M26*VLOOKUP(D26,$R$4:$U$13,4,FALSE))))</f>
        <v/>
      </c>
      <c r="O26" s="85"/>
    </row>
    <row r="27" spans="1:15" x14ac:dyDescent="0.25">
      <c r="A27" s="90"/>
      <c r="B27" s="93"/>
      <c r="C27" s="94"/>
      <c r="D27" s="87"/>
      <c r="E27" s="88"/>
      <c r="F27" s="98"/>
      <c r="G27" s="58">
        <v>1.698</v>
      </c>
      <c r="H27" s="45">
        <f>IF(G27="","",LOG(((G27/G$20)/(1-(G27/G$20)))))</f>
        <v>1.1711321992320269</v>
      </c>
      <c r="I27" s="100">
        <f t="shared" ref="I27:I63" si="2">IF(G27=H27,"0,0%",STDEV(G27:H27)/AVERAGE(G27:H27))</f>
        <v>0.25969649973716558</v>
      </c>
      <c r="J27" s="22" t="str">
        <f>IF(G27="","",IF($G$20/G27&lt;1,"менее 2,0",IF(10^((H27-INTERCEPT($I$10:$I$13,$H$10:$H$13))/SLOPE($I$10:$I$13,$H$10:$H$13))&gt;$B$13,"более "&amp;$B$13&amp;",0",IF(10^((H27-INTERCEPT($I$10:$I$13,$H$10:$H$13))/SLOPE($I$10:$I$13,$H$10:$H$13))&lt;2,"менее 2,0",ROUND(10^((H27-INTERCEPT($I$10:$I$13,$H$10:$H$13))/SLOPE($I$10:$I$13,$H$10:$H$13))*F26,2)))))</f>
        <v>менее 2,0</v>
      </c>
      <c r="K27" s="60" t="e">
        <f>VLOOKUP(D26,$R$4:$U$13,3,FALSE)</f>
        <v>#N/A</v>
      </c>
      <c r="L27" s="102"/>
      <c r="M27" s="82"/>
      <c r="N27" s="84"/>
      <c r="O27" s="86"/>
    </row>
    <row r="28" spans="1:15" x14ac:dyDescent="0.25">
      <c r="A28" s="89">
        <v>2</v>
      </c>
      <c r="B28" s="91" t="s">
        <v>43</v>
      </c>
      <c r="C28" s="92"/>
      <c r="D28" s="95">
        <v>1</v>
      </c>
      <c r="E28" s="96"/>
      <c r="F28" s="97">
        <v>0.68</v>
      </c>
      <c r="G28" s="58">
        <v>1.7070000000000001</v>
      </c>
      <c r="H28" s="45">
        <f>IF(G28="","",LOG(((G28/G$20)/(1-(G28/G$20)))))</f>
        <v>1.2089810614810226</v>
      </c>
      <c r="I28" s="99">
        <f>IF(OR(G29="",G28=""),"",STDEV(G28:G29)/AVERAGE(G28:G29))</f>
        <v>1.6550187973939103E-3</v>
      </c>
      <c r="J28" s="22" t="str">
        <f t="shared" ref="J28" si="3">IF(G28="","",IF($G$20/G28&lt;1,"менее 2,0",IF(10^((H28-INTERCEPT($I$10:$I$13,$H$10:$H$13))/SLOPE($I$10:$I$13,$H$10:$H$13))&gt;$B$13,"более "&amp;$B$13&amp;",0",IF(10^((H28-INTERCEPT($I$10:$I$13,$H$10:$H$13))/SLOPE($I$10:$I$13,$H$10:$H$13))&lt;2,"менее 2,0",ROUND(10^((H28-INTERCEPT($I$10:$I$13,$H$10:$H$13))/SLOPE($I$10:$I$13,$H$10:$H$13))*F28,2)))))</f>
        <v>менее 2,0</v>
      </c>
      <c r="K28" s="59" t="e">
        <f>ABS(J28-J29)</f>
        <v>#VALUE!</v>
      </c>
      <c r="L28" s="101" t="str">
        <f t="shared" ref="L28" si="4">IF(M28="","",IF(M28="более "&amp;$B$13&amp;",0","",IF(M28="менее 2,0","",IF(0.01*M28*K29&gt;K28,"приемлемо","неприемлемо"))))</f>
        <v/>
      </c>
      <c r="M28" s="81" t="str">
        <f t="shared" ref="M28" si="5">IF(OR(J28="",J29=""),"",IF(OR(J28="менее 2,0",J29="менее 2,0"),"менее 2,0",IF(OR(J28="более "&amp;$B$13&amp;",0",J29="более "&amp;$B$13&amp;",0"),"более "&amp;$B$13&amp;",0",ROUND(AVERAGE(J28:J29),1))))</f>
        <v>менее 2,0</v>
      </c>
      <c r="N28" s="83" t="str">
        <f t="shared" ref="N28" si="6">IF(M28="","",IF(M28="более "&amp;$B$13&amp;",0","",IF(M28="менее 2,0","",0.01*M28*VLOOKUP(D28,$R$4:$U$13,4,FALSE))))</f>
        <v/>
      </c>
      <c r="O28" s="85"/>
    </row>
    <row r="29" spans="1:15" x14ac:dyDescent="0.25">
      <c r="A29" s="90"/>
      <c r="B29" s="93"/>
      <c r="C29" s="94"/>
      <c r="D29" s="87"/>
      <c r="E29" s="88"/>
      <c r="F29" s="98"/>
      <c r="G29" s="58">
        <v>1.7110000000000001</v>
      </c>
      <c r="H29" s="45">
        <f t="shared" ref="H29:H65" si="7">IF(G29="","",LOG(((G29/G$20)/(1-(G29/G$20)))))</f>
        <v>1.226783967291869</v>
      </c>
      <c r="I29" s="100">
        <f t="shared" si="2"/>
        <v>0.233095723919273</v>
      </c>
      <c r="J29" s="22" t="str">
        <f t="shared" ref="J29" si="8">IF(G29="","",IF($G$20/G29&lt;1,"менее 2,0",IF(10^((H29-INTERCEPT($I$10:$I$13,$H$10:$H$13))/SLOPE($I$10:$I$13,$H$10:$H$13))&gt;$B$13,"более "&amp;$B$13&amp;",0",IF(10^((H29-INTERCEPT($I$10:$I$13,$H$10:$H$13))/SLOPE($I$10:$I$13,$H$10:$H$13))&lt;2,"менее 2,0",ROUND(10^((H29-INTERCEPT($I$10:$I$13,$H$10:$H$13))/SLOPE($I$10:$I$13,$H$10:$H$13))*F28,2)))))</f>
        <v>менее 2,0</v>
      </c>
      <c r="K29" s="60" t="e">
        <f>VLOOKUP(D28,$R$4:$U$13,3,FALSE)</f>
        <v>#N/A</v>
      </c>
      <c r="L29" s="102"/>
      <c r="M29" s="82"/>
      <c r="N29" s="84"/>
      <c r="O29" s="86"/>
    </row>
    <row r="30" spans="1:15" x14ac:dyDescent="0.25">
      <c r="A30" s="89">
        <v>3</v>
      </c>
      <c r="B30" s="91" t="s">
        <v>44</v>
      </c>
      <c r="C30" s="92"/>
      <c r="D30" s="95">
        <v>1</v>
      </c>
      <c r="E30" s="96"/>
      <c r="F30" s="97">
        <v>1</v>
      </c>
      <c r="G30" s="58">
        <v>1.89</v>
      </c>
      <c r="H30" s="45" t="e">
        <f>IF(G30="","",LOG(((G30/G$20)/(1-(G30/G$20)))))</f>
        <v>#NUM!</v>
      </c>
      <c r="I30" s="99">
        <f>IF(OR(G31="",G30=""),"",STDEV(G30:G31)/AVERAGE(G30:G31))</f>
        <v>1.9341617506309399E-2</v>
      </c>
      <c r="J30" s="22" t="str">
        <f t="shared" ref="J30" si="9">IF(G30="","",IF($G$20/G30&lt;1,"менее 2,0",IF(10^((H30-INTERCEPT($I$10:$I$13,$H$10:$H$13))/SLOPE($I$10:$I$13,$H$10:$H$13))&gt;$B$13,"более "&amp;$B$13&amp;",0",IF(10^((H30-INTERCEPT($I$10:$I$13,$H$10:$H$13))/SLOPE($I$10:$I$13,$H$10:$H$13))&lt;2,"менее 2,0",ROUND(10^((H30-INTERCEPT($I$10:$I$13,$H$10:$H$13))/SLOPE($I$10:$I$13,$H$10:$H$13))*F30,2)))))</f>
        <v>менее 2,0</v>
      </c>
      <c r="K30" s="59" t="e">
        <f>ABS(J30-J31)</f>
        <v>#VALUE!</v>
      </c>
      <c r="L30" s="101" t="str">
        <f t="shared" ref="L30" si="10">IF(M30="","",IF(M30="более "&amp;$B$13&amp;",0","",IF(M30="менее 2,0","",IF(0.01*M30*K31&gt;K30,"приемлемо","неприемлемо"))))</f>
        <v/>
      </c>
      <c r="M30" s="81" t="str">
        <f t="shared" ref="M30" si="11">IF(OR(J30="",J31=""),"",IF(OR(J30="менее 2,0",J31="менее 2,0"),"менее 2,0",IF(OR(J30="более "&amp;$B$13&amp;",0",J31="более "&amp;$B$13&amp;",0"),"более "&amp;$B$13&amp;",0",ROUND(AVERAGE(J30:J31),1))))</f>
        <v>менее 2,0</v>
      </c>
      <c r="N30" s="83" t="str">
        <f t="shared" ref="N30" si="12">IF(M30="","",IF(M30="более "&amp;$B$13&amp;",0","",IF(M30="менее 2,0","",0.01*M30*VLOOKUP(D30,$R$4:$U$13,4,FALSE))))</f>
        <v/>
      </c>
      <c r="O30" s="85"/>
    </row>
    <row r="31" spans="1:15" x14ac:dyDescent="0.25">
      <c r="A31" s="90"/>
      <c r="B31" s="93"/>
      <c r="C31" s="94"/>
      <c r="D31" s="87"/>
      <c r="E31" s="88"/>
      <c r="F31" s="98"/>
      <c r="G31" s="58">
        <v>1.839</v>
      </c>
      <c r="H31" s="45" t="e">
        <f t="shared" si="7"/>
        <v>#NUM!</v>
      </c>
      <c r="I31" s="100" t="e">
        <f t="shared" si="2"/>
        <v>#NUM!</v>
      </c>
      <c r="J31" s="22" t="str">
        <f t="shared" ref="J31" si="13">IF(G31="","",IF($G$20/G31&lt;1,"менее 2,0",IF(10^((H31-INTERCEPT($I$10:$I$13,$H$10:$H$13))/SLOPE($I$10:$I$13,$H$10:$H$13))&gt;$B$13,"более "&amp;$B$13&amp;",0",IF(10^((H31-INTERCEPT($I$10:$I$13,$H$10:$H$13))/SLOPE($I$10:$I$13,$H$10:$H$13))&lt;2,"менее 2,0",ROUND(10^((H31-INTERCEPT($I$10:$I$13,$H$10:$H$13))/SLOPE($I$10:$I$13,$H$10:$H$13))*F30,2)))))</f>
        <v>менее 2,0</v>
      </c>
      <c r="K31" s="60" t="e">
        <f>VLOOKUP(D30,$R$4:$U$13,3,FALSE)</f>
        <v>#N/A</v>
      </c>
      <c r="L31" s="102"/>
      <c r="M31" s="82"/>
      <c r="N31" s="84"/>
      <c r="O31" s="86"/>
    </row>
    <row r="32" spans="1:15" x14ac:dyDescent="0.25">
      <c r="A32" s="89">
        <v>4</v>
      </c>
      <c r="B32" s="91" t="s">
        <v>45</v>
      </c>
      <c r="C32" s="92"/>
      <c r="D32" s="95">
        <v>1</v>
      </c>
      <c r="E32" s="96"/>
      <c r="F32" s="97">
        <v>1</v>
      </c>
      <c r="G32" s="58">
        <v>1.8460000000000001</v>
      </c>
      <c r="H32" s="45" t="e">
        <f t="shared" si="7"/>
        <v>#NUM!</v>
      </c>
      <c r="I32" s="99">
        <f>IF(OR(G33="",G32=""),"",STDEV(G32:G33)/AVERAGE(G32:G33))</f>
        <v>2.6762624862426382E-3</v>
      </c>
      <c r="J32" s="22" t="str">
        <f t="shared" ref="J32" si="14">IF(G32="","",IF($G$20/G32&lt;1,"менее 2,0",IF(10^((H32-INTERCEPT($I$10:$I$13,$H$10:$H$13))/SLOPE($I$10:$I$13,$H$10:$H$13))&gt;$B$13,"более "&amp;$B$13&amp;",0",IF(10^((H32-INTERCEPT($I$10:$I$13,$H$10:$H$13))/SLOPE($I$10:$I$13,$H$10:$H$13))&lt;2,"менее 2,0",ROUND(10^((H32-INTERCEPT($I$10:$I$13,$H$10:$H$13))/SLOPE($I$10:$I$13,$H$10:$H$13))*F32,2)))))</f>
        <v>менее 2,0</v>
      </c>
      <c r="K32" s="59" t="e">
        <f>ABS(J32-J33)</f>
        <v>#VALUE!</v>
      </c>
      <c r="L32" s="101" t="str">
        <f t="shared" ref="L32" si="15">IF(M32="","",IF(M32="более "&amp;$B$13&amp;",0","",IF(M32="менее 2,0","",IF(0.01*M32*K33&gt;K32,"приемлемо","неприемлемо"))))</f>
        <v/>
      </c>
      <c r="M32" s="81" t="str">
        <f t="shared" ref="M32" si="16">IF(OR(J32="",J33=""),"",IF(OR(J32="менее 2,0",J33="менее 2,0"),"менее 2,0",IF(OR(J32="более "&amp;$B$13&amp;",0",J33="более "&amp;$B$13&amp;",0"),"более "&amp;$B$13&amp;",0",ROUND(AVERAGE(J32:J33),1))))</f>
        <v>менее 2,0</v>
      </c>
      <c r="N32" s="83" t="str">
        <f>IF(M32="","",IF(M32="более "&amp;$B$13&amp;",0","",IF(M32="менее 2,0","",0.01*M32*VLOOKUP(D32,$R$4:$U$13,4,FALSE))))</f>
        <v/>
      </c>
      <c r="O32" s="85"/>
    </row>
    <row r="33" spans="1:15" x14ac:dyDescent="0.25">
      <c r="A33" s="90"/>
      <c r="B33" s="93"/>
      <c r="C33" s="94"/>
      <c r="D33" s="87"/>
      <c r="E33" s="88"/>
      <c r="F33" s="98"/>
      <c r="G33" s="58">
        <v>1.853</v>
      </c>
      <c r="H33" s="45" t="e">
        <f t="shared" si="7"/>
        <v>#NUM!</v>
      </c>
      <c r="I33" s="100" t="e">
        <f t="shared" si="2"/>
        <v>#NUM!</v>
      </c>
      <c r="J33" s="22" t="str">
        <f t="shared" ref="J33" si="17">IF(G33="","",IF($G$20/G33&lt;1,"менее 2,0",IF(10^((H33-INTERCEPT($I$10:$I$13,$H$10:$H$13))/SLOPE($I$10:$I$13,$H$10:$H$13))&gt;$B$13,"более "&amp;$B$13&amp;",0",IF(10^((H33-INTERCEPT($I$10:$I$13,$H$10:$H$13))/SLOPE($I$10:$I$13,$H$10:$H$13))&lt;2,"менее 2,0",ROUND(10^((H33-INTERCEPT($I$10:$I$13,$H$10:$H$13))/SLOPE($I$10:$I$13,$H$10:$H$13))*F32,2)))))</f>
        <v>менее 2,0</v>
      </c>
      <c r="K33" s="60" t="e">
        <f>VLOOKUP(D32,$R$4:$U$13,3,FALSE)</f>
        <v>#N/A</v>
      </c>
      <c r="L33" s="102"/>
      <c r="M33" s="82"/>
      <c r="N33" s="84"/>
      <c r="O33" s="86"/>
    </row>
    <row r="34" spans="1:15" x14ac:dyDescent="0.25">
      <c r="A34" s="89">
        <v>5</v>
      </c>
      <c r="B34" s="91" t="s">
        <v>46</v>
      </c>
      <c r="C34" s="92"/>
      <c r="D34" s="95">
        <v>1</v>
      </c>
      <c r="E34" s="96"/>
      <c r="F34" s="97">
        <v>1</v>
      </c>
      <c r="G34" s="58">
        <v>1.698</v>
      </c>
      <c r="H34" s="45">
        <f t="shared" si="7"/>
        <v>1.1711321992320269</v>
      </c>
      <c r="I34" s="99">
        <f>IF(OR(G35="",G34=""),"",STDEV(G34:G35)/AVERAGE(G34:G35))</f>
        <v>3.3393472547180551E-3</v>
      </c>
      <c r="J34" s="22" t="str">
        <f t="shared" ref="J34" si="18">IF(G34="","",IF($G$20/G34&lt;1,"менее 2,0",IF(10^((H34-INTERCEPT($I$10:$I$13,$H$10:$H$13))/SLOPE($I$10:$I$13,$H$10:$H$13))&gt;$B$13,"более "&amp;$B$13&amp;",0",IF(10^((H34-INTERCEPT($I$10:$I$13,$H$10:$H$13))/SLOPE($I$10:$I$13,$H$10:$H$13))&lt;2,"менее 2,0",ROUND(10^((H34-INTERCEPT($I$10:$I$13,$H$10:$H$13))/SLOPE($I$10:$I$13,$H$10:$H$13))*F34,2)))))</f>
        <v>менее 2,0</v>
      </c>
      <c r="K34" s="59" t="e">
        <f>ABS(J34-J35)</f>
        <v>#VALUE!</v>
      </c>
      <c r="L34" s="101" t="str">
        <f t="shared" ref="L34" si="19">IF(M34="","",IF(M34="более "&amp;$B$13&amp;",0","",IF(M34="менее 2,0","",IF(0.01*M34*K35&gt;K34,"приемлемо","неприемлемо"))))</f>
        <v/>
      </c>
      <c r="M34" s="81" t="str">
        <f t="shared" ref="M34" si="20">IF(OR(J34="",J35=""),"",IF(OR(J34="менее 2,0",J35="менее 2,0"),"менее 2,0",IF(OR(J34="более "&amp;$B$13&amp;",0",J35="более "&amp;$B$13&amp;",0"),"более "&amp;$B$13&amp;",0",ROUND(AVERAGE(J34:J35),1))))</f>
        <v>менее 2,0</v>
      </c>
      <c r="N34" s="83" t="str">
        <f t="shared" ref="N34" si="21">IF(M34="","",IF(M34="более "&amp;$B$13&amp;",0","",IF(M34="менее 2,0","",0.01*M34*VLOOKUP(D34,$R$4:$U$13,4,FALSE))))</f>
        <v/>
      </c>
      <c r="O34" s="85"/>
    </row>
    <row r="35" spans="1:15" x14ac:dyDescent="0.25">
      <c r="A35" s="90"/>
      <c r="B35" s="93"/>
      <c r="C35" s="94"/>
      <c r="D35" s="87"/>
      <c r="E35" s="88"/>
      <c r="F35" s="98"/>
      <c r="G35" s="58">
        <v>1.69</v>
      </c>
      <c r="H35" s="45">
        <f t="shared" si="7"/>
        <v>1.1397506159131223</v>
      </c>
      <c r="I35" s="100">
        <f t="shared" si="2"/>
        <v>0.2749960145912006</v>
      </c>
      <c r="J35" s="22" t="str">
        <f t="shared" ref="J35" si="22">IF(G35="","",IF($G$20/G35&lt;1,"менее 2,0",IF(10^((H35-INTERCEPT($I$10:$I$13,$H$10:$H$13))/SLOPE($I$10:$I$13,$H$10:$H$13))&gt;$B$13,"более "&amp;$B$13&amp;",0",IF(10^((H35-INTERCEPT($I$10:$I$13,$H$10:$H$13))/SLOPE($I$10:$I$13,$H$10:$H$13))&lt;2,"менее 2,0",ROUND(10^((H35-INTERCEPT($I$10:$I$13,$H$10:$H$13))/SLOPE($I$10:$I$13,$H$10:$H$13))*F34,2)))))</f>
        <v>менее 2,0</v>
      </c>
      <c r="K35" s="60" t="e">
        <f>VLOOKUP(D34,$R$4:$U$13,3,FALSE)</f>
        <v>#N/A</v>
      </c>
      <c r="L35" s="102"/>
      <c r="M35" s="82"/>
      <c r="N35" s="84"/>
      <c r="O35" s="86"/>
    </row>
    <row r="36" spans="1:15" x14ac:dyDescent="0.25">
      <c r="A36" s="89">
        <v>6</v>
      </c>
      <c r="B36" s="91" t="s">
        <v>5</v>
      </c>
      <c r="C36" s="92"/>
      <c r="D36" s="95">
        <v>2</v>
      </c>
      <c r="E36" s="96"/>
      <c r="F36" s="97">
        <v>1</v>
      </c>
      <c r="G36" s="58">
        <v>0.56399999999999995</v>
      </c>
      <c r="H36" s="45">
        <f t="shared" si="7"/>
        <v>-0.34510944270402438</v>
      </c>
      <c r="I36" s="99">
        <f>IF(OR(G37="",G36=""),"",STDEV(G36:G37)/AVERAGE(G36:G37))</f>
        <v>1.9059481972683097E-2</v>
      </c>
      <c r="J36" s="22">
        <f t="shared" ref="J36" si="23">IF(G36="","",IF($G$20/G36&lt;1,"менее 2,0",IF(10^((H36-INTERCEPT($I$10:$I$13,$H$10:$H$13))/SLOPE($I$10:$I$13,$H$10:$H$13))&gt;$B$13,"более "&amp;$B$13&amp;",0",IF(10^((H36-INTERCEPT($I$10:$I$13,$H$10:$H$13))/SLOPE($I$10:$I$13,$H$10:$H$13))&lt;2,"менее 2,0",ROUND(10^((H36-INTERCEPT($I$10:$I$13,$H$10:$H$13))/SLOPE($I$10:$I$13,$H$10:$H$13))*F36,2)))))</f>
        <v>9.6199999999999992</v>
      </c>
      <c r="K36" s="59">
        <f>ABS(J36-J37)</f>
        <v>0.34000000000000163</v>
      </c>
      <c r="L36" s="101" t="str">
        <f t="shared" ref="L36" si="24">IF(M36="","",IF(M36="более "&amp;$B$13&amp;",0","",IF(M36="менее 2,0","",IF(0.01*M36*K37&gt;K36,"приемлемо","неприемлемо"))))</f>
        <v>приемлемо</v>
      </c>
      <c r="M36" s="81">
        <f t="shared" ref="M36" si="25">IF(OR(J36="",J37=""),"",IF(OR(J36="менее 2,0",J37="менее 2,0"),"менее 2,0",IF(OR(J36="более "&amp;$B$13&amp;",0",J37="более "&amp;$B$13&amp;",0"),"более "&amp;$B$13&amp;",0",ROUND(AVERAGE(J36:J37),1))))</f>
        <v>9.8000000000000007</v>
      </c>
      <c r="N36" s="83">
        <f t="shared" ref="N36" si="26">IF(M36="","",IF(M36="более "&amp;$B$13&amp;",0","",IF(M36="менее 2,0","",0.01*M36*VLOOKUP(D36,$R$4:$U$13,4,FALSE))))</f>
        <v>1.764</v>
      </c>
      <c r="O36" s="85"/>
    </row>
    <row r="37" spans="1:15" x14ac:dyDescent="0.25">
      <c r="A37" s="90"/>
      <c r="B37" s="93"/>
      <c r="C37" s="94"/>
      <c r="D37" s="87"/>
      <c r="E37" s="88"/>
      <c r="F37" s="98"/>
      <c r="G37" s="58">
        <v>0.54900000000000004</v>
      </c>
      <c r="H37" s="45">
        <f t="shared" si="7"/>
        <v>-0.3620029018058416</v>
      </c>
      <c r="I37" s="100">
        <f t="shared" si="2"/>
        <v>6.8896933243176539</v>
      </c>
      <c r="J37" s="22">
        <f t="shared" ref="J37" si="27">IF(G37="","",IF($G$20/G37&lt;1,"менее 2,0",IF(10^((H37-INTERCEPT($I$10:$I$13,$H$10:$H$13))/SLOPE($I$10:$I$13,$H$10:$H$13))&gt;$B$13,"более "&amp;$B$13&amp;",0",IF(10^((H37-INTERCEPT($I$10:$I$13,$H$10:$H$13))/SLOPE($I$10:$I$13,$H$10:$H$13))&lt;2,"менее 2,0",ROUND(10^((H37-INTERCEPT($I$10:$I$13,$H$10:$H$13))/SLOPE($I$10:$I$13,$H$10:$H$13))*F36,2)))))</f>
        <v>9.9600000000000009</v>
      </c>
      <c r="K37" s="60">
        <f>VLOOKUP(D36,$R$4:$U$13,3,FALSE)</f>
        <v>26.9</v>
      </c>
      <c r="L37" s="102"/>
      <c r="M37" s="82"/>
      <c r="N37" s="84"/>
      <c r="O37" s="86"/>
    </row>
    <row r="38" spans="1:15" x14ac:dyDescent="0.25">
      <c r="A38" s="89">
        <v>7</v>
      </c>
      <c r="B38" s="91"/>
      <c r="C38" s="92"/>
      <c r="D38" s="95">
        <v>1</v>
      </c>
      <c r="E38" s="96"/>
      <c r="F38" s="97">
        <v>1</v>
      </c>
      <c r="G38" s="58"/>
      <c r="H38" s="45" t="str">
        <f t="shared" si="7"/>
        <v/>
      </c>
      <c r="I38" s="99" t="str">
        <f>IF(OR(G39="",G38=""),"",STDEV(G38:G39)/AVERAGE(G38:G39))</f>
        <v/>
      </c>
      <c r="J38" s="22" t="str">
        <f t="shared" ref="J38" si="28">IF(G38="","",IF($G$20/G38&lt;1,"менее 2,0",IF(10^((H38-INTERCEPT($I$10:$I$13,$H$10:$H$13))/SLOPE($I$10:$I$13,$H$10:$H$13))&gt;$B$13,"более "&amp;$B$13&amp;",0",IF(10^((H38-INTERCEPT($I$10:$I$13,$H$10:$H$13))/SLOPE($I$10:$I$13,$H$10:$H$13))&lt;2,"менее 2,0",ROUND(10^((H38-INTERCEPT($I$10:$I$13,$H$10:$H$13))/SLOPE($I$10:$I$13,$H$10:$H$13))*F38,2)))))</f>
        <v/>
      </c>
      <c r="K38" s="59" t="e">
        <f>ABS(J38-J39)</f>
        <v>#VALUE!</v>
      </c>
      <c r="L38" s="101" t="str">
        <f t="shared" ref="L38" si="29">IF(M38="","",IF(M38="более "&amp;$B$13&amp;",0","",IF(M38="менее 2,0","",IF(0.01*M38*K39&gt;K38,"приемлемо","неприемлемо"))))</f>
        <v/>
      </c>
      <c r="M38" s="81" t="str">
        <f t="shared" ref="M38" si="30">IF(OR(J38="",J39=""),"",IF(OR(J38="менее 2,0",J39="менее 2,0"),"менее 2,0",IF(OR(J38="более "&amp;$B$13&amp;",0",J39="более "&amp;$B$13&amp;",0"),"более "&amp;$B$13&amp;",0",ROUND(AVERAGE(J38:J39),1))))</f>
        <v/>
      </c>
      <c r="N38" s="83" t="str">
        <f t="shared" ref="N38" si="31">IF(M38="","",IF(M38="более "&amp;$B$13&amp;",0","",IF(M38="менее 2,0","",0.01*M38*VLOOKUP(D38,$R$4:$U$13,4,FALSE))))</f>
        <v/>
      </c>
      <c r="O38" s="85"/>
    </row>
    <row r="39" spans="1:15" x14ac:dyDescent="0.25">
      <c r="A39" s="90"/>
      <c r="B39" s="93"/>
      <c r="C39" s="94"/>
      <c r="D39" s="87"/>
      <c r="E39" s="88"/>
      <c r="F39" s="98"/>
      <c r="G39" s="58"/>
      <c r="H39" s="45" t="str">
        <f t="shared" si="7"/>
        <v/>
      </c>
      <c r="I39" s="100" t="str">
        <f t="shared" si="2"/>
        <v>0,0%</v>
      </c>
      <c r="J39" s="22" t="str">
        <f t="shared" ref="J39" si="32">IF(G39="","",IF($G$20/G39&lt;1,"менее 2,0",IF(10^((H39-INTERCEPT($I$10:$I$13,$H$10:$H$13))/SLOPE($I$10:$I$13,$H$10:$H$13))&gt;$B$13,"более "&amp;$B$13&amp;",0",IF(10^((H39-INTERCEPT($I$10:$I$13,$H$10:$H$13))/SLOPE($I$10:$I$13,$H$10:$H$13))&lt;2,"менее 2,0",ROUND(10^((H39-INTERCEPT($I$10:$I$13,$H$10:$H$13))/SLOPE($I$10:$I$13,$H$10:$H$13))*F38,2)))))</f>
        <v/>
      </c>
      <c r="K39" s="60" t="e">
        <f>VLOOKUP(D38,$R$4:$U$13,3,FALSE)</f>
        <v>#N/A</v>
      </c>
      <c r="L39" s="102"/>
      <c r="M39" s="82"/>
      <c r="N39" s="84"/>
      <c r="O39" s="86"/>
    </row>
    <row r="40" spans="1:15" x14ac:dyDescent="0.25">
      <c r="A40" s="89">
        <v>8</v>
      </c>
      <c r="B40" s="91"/>
      <c r="C40" s="92"/>
      <c r="D40" s="95">
        <v>1</v>
      </c>
      <c r="E40" s="96"/>
      <c r="F40" s="97">
        <v>1</v>
      </c>
      <c r="G40" s="58"/>
      <c r="H40" s="45" t="str">
        <f t="shared" si="7"/>
        <v/>
      </c>
      <c r="I40" s="99" t="str">
        <f>IF(OR(G41="",G40=""),"",STDEV(G40:G41)/AVERAGE(G40:G41))</f>
        <v/>
      </c>
      <c r="J40" s="22" t="str">
        <f t="shared" ref="J40" si="33">IF(G40="","",IF($G$20/G40&lt;1,"менее 2,0",IF(10^((H40-INTERCEPT($I$10:$I$13,$H$10:$H$13))/SLOPE($I$10:$I$13,$H$10:$H$13))&gt;$B$13,"более "&amp;$B$13&amp;",0",IF(10^((H40-INTERCEPT($I$10:$I$13,$H$10:$H$13))/SLOPE($I$10:$I$13,$H$10:$H$13))&lt;2,"менее 2,0",ROUND(10^((H40-INTERCEPT($I$10:$I$13,$H$10:$H$13))/SLOPE($I$10:$I$13,$H$10:$H$13))*F40,2)))))</f>
        <v/>
      </c>
      <c r="K40" s="59" t="e">
        <f>ABS(J40-J41)</f>
        <v>#VALUE!</v>
      </c>
      <c r="L40" s="101" t="str">
        <f t="shared" ref="L40" si="34">IF(M40="","",IF(M40="более "&amp;$B$13&amp;",0","",IF(M40="менее 2,0","",IF(0.01*M40*K41&gt;K40,"приемлемо","неприемлемо"))))</f>
        <v/>
      </c>
      <c r="M40" s="81" t="str">
        <f t="shared" ref="M40" si="35">IF(OR(J40="",J41=""),"",IF(OR(J40="менее 2,0",J41="менее 2,0"),"менее 2,0",IF(OR(J40="более "&amp;$B$13&amp;",0",J41="более "&amp;$B$13&amp;",0"),"более "&amp;$B$13&amp;",0",ROUND(AVERAGE(J40:J41),1))))</f>
        <v/>
      </c>
      <c r="N40" s="83" t="str">
        <f t="shared" ref="N40" si="36">IF(M40="","",IF(M40="более "&amp;$B$13&amp;",0","",IF(M40="менее 2,0","",0.01*M40*VLOOKUP(D40,$R$4:$U$13,4,FALSE))))</f>
        <v/>
      </c>
      <c r="O40" s="85"/>
    </row>
    <row r="41" spans="1:15" x14ac:dyDescent="0.25">
      <c r="A41" s="90"/>
      <c r="B41" s="93"/>
      <c r="C41" s="94"/>
      <c r="D41" s="87"/>
      <c r="E41" s="88"/>
      <c r="F41" s="98"/>
      <c r="G41" s="58"/>
      <c r="H41" s="45" t="str">
        <f t="shared" si="7"/>
        <v/>
      </c>
      <c r="I41" s="100" t="str">
        <f t="shared" si="2"/>
        <v>0,0%</v>
      </c>
      <c r="J41" s="22" t="str">
        <f t="shared" ref="J41" si="37">IF(G41="","",IF($G$20/G41&lt;1,"менее 2,0",IF(10^((H41-INTERCEPT($I$10:$I$13,$H$10:$H$13))/SLOPE($I$10:$I$13,$H$10:$H$13))&gt;$B$13,"более "&amp;$B$13&amp;",0",IF(10^((H41-INTERCEPT($I$10:$I$13,$H$10:$H$13))/SLOPE($I$10:$I$13,$H$10:$H$13))&lt;2,"менее 2,0",ROUND(10^((H41-INTERCEPT($I$10:$I$13,$H$10:$H$13))/SLOPE($I$10:$I$13,$H$10:$H$13))*F40,2)))))</f>
        <v/>
      </c>
      <c r="K41" s="60" t="e">
        <f>VLOOKUP(D40,$R$4:$U$13,3,FALSE)</f>
        <v>#N/A</v>
      </c>
      <c r="L41" s="102"/>
      <c r="M41" s="82"/>
      <c r="N41" s="84"/>
      <c r="O41" s="86"/>
    </row>
    <row r="42" spans="1:15" x14ac:dyDescent="0.25">
      <c r="A42" s="89">
        <v>9</v>
      </c>
      <c r="B42" s="91"/>
      <c r="C42" s="92"/>
      <c r="D42" s="95">
        <v>1</v>
      </c>
      <c r="E42" s="96"/>
      <c r="F42" s="97">
        <v>1</v>
      </c>
      <c r="G42" s="58"/>
      <c r="H42" s="45" t="str">
        <f t="shared" si="7"/>
        <v/>
      </c>
      <c r="I42" s="99" t="str">
        <f>IF(OR(G43="",G42=""),"",STDEV(G42:G43)/AVERAGE(G42:G43))</f>
        <v/>
      </c>
      <c r="J42" s="22" t="str">
        <f t="shared" ref="J42" si="38">IF(G42="","",IF($G$20/G42&lt;1,"менее 2,0",IF(10^((H42-INTERCEPT($I$10:$I$13,$H$10:$H$13))/SLOPE($I$10:$I$13,$H$10:$H$13))&gt;$B$13,"более "&amp;$B$13&amp;",0",IF(10^((H42-INTERCEPT($I$10:$I$13,$H$10:$H$13))/SLOPE($I$10:$I$13,$H$10:$H$13))&lt;2,"менее 2,0",ROUND(10^((H42-INTERCEPT($I$10:$I$13,$H$10:$H$13))/SLOPE($I$10:$I$13,$H$10:$H$13))*F42,2)))))</f>
        <v/>
      </c>
      <c r="K42" s="59" t="e">
        <f>ABS(J42-J43)</f>
        <v>#VALUE!</v>
      </c>
      <c r="L42" s="101" t="str">
        <f t="shared" ref="L42" si="39">IF(M42="","",IF(M42="более "&amp;$B$13&amp;",0","",IF(M42="менее 2,0","",IF(0.01*M42*K43&gt;K42,"приемлемо","неприемлемо"))))</f>
        <v/>
      </c>
      <c r="M42" s="81" t="str">
        <f t="shared" ref="M42" si="40">IF(OR(J42="",J43=""),"",IF(OR(J42="менее 2,0",J43="менее 2,0"),"менее 2,0",IF(OR(J42="более "&amp;$B$13&amp;",0",J43="более "&amp;$B$13&amp;",0"),"более "&amp;$B$13&amp;",0",ROUND(AVERAGE(J42:J43),1))))</f>
        <v/>
      </c>
      <c r="N42" s="83" t="str">
        <f t="shared" ref="N42" si="41">IF(M42="","",IF(M42="более "&amp;$B$13&amp;",0","",IF(M42="менее 2,0","",0.01*M42*VLOOKUP(D42,$R$4:$U$13,4,FALSE))))</f>
        <v/>
      </c>
      <c r="O42" s="85"/>
    </row>
    <row r="43" spans="1:15" x14ac:dyDescent="0.25">
      <c r="A43" s="90"/>
      <c r="B43" s="93"/>
      <c r="C43" s="94"/>
      <c r="D43" s="87"/>
      <c r="E43" s="88"/>
      <c r="F43" s="98"/>
      <c r="G43" s="58"/>
      <c r="H43" s="45" t="str">
        <f t="shared" si="7"/>
        <v/>
      </c>
      <c r="I43" s="100" t="str">
        <f t="shared" si="2"/>
        <v>0,0%</v>
      </c>
      <c r="J43" s="22" t="str">
        <f t="shared" ref="J43" si="42">IF(G43="","",IF($G$20/G43&lt;1,"менее 2,0",IF(10^((H43-INTERCEPT($I$10:$I$13,$H$10:$H$13))/SLOPE($I$10:$I$13,$H$10:$H$13))&gt;$B$13,"более "&amp;$B$13&amp;",0",IF(10^((H43-INTERCEPT($I$10:$I$13,$H$10:$H$13))/SLOPE($I$10:$I$13,$H$10:$H$13))&lt;2,"менее 2,0",ROUND(10^((H43-INTERCEPT($I$10:$I$13,$H$10:$H$13))/SLOPE($I$10:$I$13,$H$10:$H$13))*F42,2)))))</f>
        <v/>
      </c>
      <c r="K43" s="60" t="e">
        <f>VLOOKUP(D42,$R$4:$U$13,3,FALSE)</f>
        <v>#N/A</v>
      </c>
      <c r="L43" s="102"/>
      <c r="M43" s="82"/>
      <c r="N43" s="84"/>
      <c r="O43" s="86"/>
    </row>
    <row r="44" spans="1:15" x14ac:dyDescent="0.25">
      <c r="A44" s="89">
        <v>10</v>
      </c>
      <c r="B44" s="91"/>
      <c r="C44" s="92"/>
      <c r="D44" s="95">
        <v>1</v>
      </c>
      <c r="E44" s="96"/>
      <c r="F44" s="97">
        <v>1</v>
      </c>
      <c r="G44" s="58"/>
      <c r="H44" s="45" t="str">
        <f t="shared" si="7"/>
        <v/>
      </c>
      <c r="I44" s="99" t="str">
        <f>IF(OR(G45="",G44=""),"",STDEV(G44:G45)/AVERAGE(G44:G45))</f>
        <v/>
      </c>
      <c r="J44" s="22" t="str">
        <f t="shared" ref="J44" si="43">IF(G44="","",IF($G$20/G44&lt;1,"менее 2,0",IF(10^((H44-INTERCEPT($I$10:$I$13,$H$10:$H$13))/SLOPE($I$10:$I$13,$H$10:$H$13))&gt;$B$13,"более "&amp;$B$13&amp;",0",IF(10^((H44-INTERCEPT($I$10:$I$13,$H$10:$H$13))/SLOPE($I$10:$I$13,$H$10:$H$13))&lt;2,"менее 2,0",ROUND(10^((H44-INTERCEPT($I$10:$I$13,$H$10:$H$13))/SLOPE($I$10:$I$13,$H$10:$H$13))*F44,2)))))</f>
        <v/>
      </c>
      <c r="K44" s="59" t="e">
        <f>ABS(J44-J45)</f>
        <v>#VALUE!</v>
      </c>
      <c r="L44" s="101" t="str">
        <f t="shared" ref="L44" si="44">IF(M44="","",IF(M44="более "&amp;$B$13&amp;",0","",IF(M44="менее 2,0","",IF(0.01*M44*K45&gt;K44,"приемлемо","неприемлемо"))))</f>
        <v/>
      </c>
      <c r="M44" s="81" t="str">
        <f t="shared" ref="M44" si="45">IF(OR(J44="",J45=""),"",IF(OR(J44="менее 2,0",J45="менее 2,0"),"менее 2,0",IF(OR(J44="более "&amp;$B$13&amp;",0",J45="более "&amp;$B$13&amp;",0"),"более "&amp;$B$13&amp;",0",ROUND(AVERAGE(J44:J45),1))))</f>
        <v/>
      </c>
      <c r="N44" s="83" t="str">
        <f t="shared" ref="N44" si="46">IF(M44="","",IF(M44="более "&amp;$B$13&amp;",0","",IF(M44="менее 2,0","",0.01*M44*VLOOKUP(D44,$R$4:$U$13,4,FALSE))))</f>
        <v/>
      </c>
      <c r="O44" s="85"/>
    </row>
    <row r="45" spans="1:15" x14ac:dyDescent="0.25">
      <c r="A45" s="90"/>
      <c r="B45" s="93"/>
      <c r="C45" s="94"/>
      <c r="D45" s="87"/>
      <c r="E45" s="88"/>
      <c r="F45" s="98"/>
      <c r="G45" s="58"/>
      <c r="H45" s="45" t="str">
        <f t="shared" si="7"/>
        <v/>
      </c>
      <c r="I45" s="100" t="str">
        <f t="shared" si="2"/>
        <v>0,0%</v>
      </c>
      <c r="J45" s="22" t="str">
        <f t="shared" ref="J45" si="47">IF(G45="","",IF($G$20/G45&lt;1,"менее 2,0",IF(10^((H45-INTERCEPT($I$10:$I$13,$H$10:$H$13))/SLOPE($I$10:$I$13,$H$10:$H$13))&gt;$B$13,"более "&amp;$B$13&amp;",0",IF(10^((H45-INTERCEPT($I$10:$I$13,$H$10:$H$13))/SLOPE($I$10:$I$13,$H$10:$H$13))&lt;2,"менее 2,0",ROUND(10^((H45-INTERCEPT($I$10:$I$13,$H$10:$H$13))/SLOPE($I$10:$I$13,$H$10:$H$13))*F44,2)))))</f>
        <v/>
      </c>
      <c r="K45" s="60" t="e">
        <f>VLOOKUP(D44,$R$4:$U$13,3,FALSE)</f>
        <v>#N/A</v>
      </c>
      <c r="L45" s="102"/>
      <c r="M45" s="82"/>
      <c r="N45" s="84"/>
      <c r="O45" s="86"/>
    </row>
    <row r="46" spans="1:15" x14ac:dyDescent="0.25">
      <c r="A46" s="89">
        <v>11</v>
      </c>
      <c r="B46" s="91"/>
      <c r="C46" s="92"/>
      <c r="D46" s="95">
        <v>1</v>
      </c>
      <c r="E46" s="96"/>
      <c r="F46" s="97">
        <v>1</v>
      </c>
      <c r="G46" s="58"/>
      <c r="H46" s="45" t="str">
        <f t="shared" si="7"/>
        <v/>
      </c>
      <c r="I46" s="99" t="str">
        <f>IF(OR(G47="",G46=""),"",STDEV(G46:G47)/AVERAGE(G46:G47))</f>
        <v/>
      </c>
      <c r="J46" s="22" t="str">
        <f t="shared" ref="J46" si="48">IF(G46="","",IF($G$20/G46&lt;1,"менее 2,0",IF(10^((H46-INTERCEPT($I$10:$I$13,$H$10:$H$13))/SLOPE($I$10:$I$13,$H$10:$H$13))&gt;$B$13,"более "&amp;$B$13&amp;",0",IF(10^((H46-INTERCEPT($I$10:$I$13,$H$10:$H$13))/SLOPE($I$10:$I$13,$H$10:$H$13))&lt;2,"менее 2,0",ROUND(10^((H46-INTERCEPT($I$10:$I$13,$H$10:$H$13))/SLOPE($I$10:$I$13,$H$10:$H$13))*F46,2)))))</f>
        <v/>
      </c>
      <c r="K46" s="59" t="e">
        <f>ABS(J46-J47)</f>
        <v>#VALUE!</v>
      </c>
      <c r="L46" s="101" t="str">
        <f t="shared" ref="L46" si="49">IF(M46="","",IF(M46="более "&amp;$B$13&amp;",0","",IF(M46="менее 2,0","",IF(0.01*M46*K47&gt;K46,"приемлемо","неприемлемо"))))</f>
        <v/>
      </c>
      <c r="M46" s="81" t="str">
        <f t="shared" ref="M46" si="50">IF(OR(J46="",J47=""),"",IF(OR(J46="менее 2,0",J47="менее 2,0"),"менее 2,0",IF(OR(J46="более "&amp;$B$13&amp;",0",J47="более "&amp;$B$13&amp;",0"),"более "&amp;$B$13&amp;",0",ROUND(AVERAGE(J46:J47),1))))</f>
        <v/>
      </c>
      <c r="N46" s="83" t="str">
        <f t="shared" ref="N46" si="51">IF(M46="","",IF(M46="более "&amp;$B$13&amp;",0","",IF(M46="менее 2,0","",0.01*M46*VLOOKUP(D46,$R$4:$U$13,4,FALSE))))</f>
        <v/>
      </c>
      <c r="O46" s="85"/>
    </row>
    <row r="47" spans="1:15" x14ac:dyDescent="0.25">
      <c r="A47" s="90"/>
      <c r="B47" s="93"/>
      <c r="C47" s="94"/>
      <c r="D47" s="87"/>
      <c r="E47" s="88"/>
      <c r="F47" s="98"/>
      <c r="G47" s="58"/>
      <c r="H47" s="45" t="str">
        <f t="shared" si="7"/>
        <v/>
      </c>
      <c r="I47" s="100" t="str">
        <f t="shared" si="2"/>
        <v>0,0%</v>
      </c>
      <c r="J47" s="22" t="str">
        <f t="shared" ref="J47" si="52">IF(G47="","",IF($G$20/G47&lt;1,"менее 2,0",IF(10^((H47-INTERCEPT($I$10:$I$13,$H$10:$H$13))/SLOPE($I$10:$I$13,$H$10:$H$13))&gt;$B$13,"более "&amp;$B$13&amp;",0",IF(10^((H47-INTERCEPT($I$10:$I$13,$H$10:$H$13))/SLOPE($I$10:$I$13,$H$10:$H$13))&lt;2,"менее 2,0",ROUND(10^((H47-INTERCEPT($I$10:$I$13,$H$10:$H$13))/SLOPE($I$10:$I$13,$H$10:$H$13))*F46,2)))))</f>
        <v/>
      </c>
      <c r="K47" s="60" t="e">
        <f>VLOOKUP(D46,$R$4:$U$13,3,FALSE)</f>
        <v>#N/A</v>
      </c>
      <c r="L47" s="102"/>
      <c r="M47" s="82"/>
      <c r="N47" s="84"/>
      <c r="O47" s="86"/>
    </row>
    <row r="48" spans="1:15" x14ac:dyDescent="0.25">
      <c r="A48" s="89">
        <v>12</v>
      </c>
      <c r="B48" s="91"/>
      <c r="C48" s="92"/>
      <c r="D48" s="95">
        <v>1</v>
      </c>
      <c r="E48" s="96"/>
      <c r="F48" s="97">
        <v>1</v>
      </c>
      <c r="G48" s="58"/>
      <c r="H48" s="45" t="str">
        <f t="shared" si="7"/>
        <v/>
      </c>
      <c r="I48" s="99" t="str">
        <f>IF(OR(G49="",G48=""),"",STDEV(G48:G49)/AVERAGE(G48:G49))</f>
        <v/>
      </c>
      <c r="J48" s="22" t="str">
        <f t="shared" ref="J48" si="53">IF(G48="","",IF($G$20/G48&lt;1,"менее 2,0",IF(10^((H48-INTERCEPT($I$10:$I$13,$H$10:$H$13))/SLOPE($I$10:$I$13,$H$10:$H$13))&gt;$B$13,"более "&amp;$B$13&amp;",0",IF(10^((H48-INTERCEPT($I$10:$I$13,$H$10:$H$13))/SLOPE($I$10:$I$13,$H$10:$H$13))&lt;2,"менее 2,0",ROUND(10^((H48-INTERCEPT($I$10:$I$13,$H$10:$H$13))/SLOPE($I$10:$I$13,$H$10:$H$13))*F48,2)))))</f>
        <v/>
      </c>
      <c r="K48" s="59" t="e">
        <f>ABS(J48-J49)</f>
        <v>#VALUE!</v>
      </c>
      <c r="L48" s="101" t="str">
        <f t="shared" ref="L48" si="54">IF(M48="","",IF(M48="более "&amp;$B$13&amp;",0","",IF(M48="менее 2,0","",IF(0.01*M48*K49&gt;K48,"приемлемо","неприемлемо"))))</f>
        <v/>
      </c>
      <c r="M48" s="81" t="str">
        <f t="shared" ref="M48" si="55">IF(OR(J48="",J49=""),"",IF(OR(J48="менее 2,0",J49="менее 2,0"),"менее 2,0",IF(OR(J48="более "&amp;$B$13&amp;",0",J49="более "&amp;$B$13&amp;",0"),"более "&amp;$B$13&amp;",0",ROUND(AVERAGE(J48:J49),1))))</f>
        <v/>
      </c>
      <c r="N48" s="83" t="str">
        <f t="shared" ref="N48" si="56">IF(M48="","",IF(M48="более "&amp;$B$13&amp;",0","",IF(M48="менее 2,0","",0.01*M48*VLOOKUP(D48,$R$4:$U$13,4,FALSE))))</f>
        <v/>
      </c>
      <c r="O48" s="85"/>
    </row>
    <row r="49" spans="1:15" x14ac:dyDescent="0.25">
      <c r="A49" s="90"/>
      <c r="B49" s="93"/>
      <c r="C49" s="94"/>
      <c r="D49" s="87"/>
      <c r="E49" s="88"/>
      <c r="F49" s="98"/>
      <c r="G49" s="58"/>
      <c r="H49" s="45" t="str">
        <f t="shared" si="7"/>
        <v/>
      </c>
      <c r="I49" s="100" t="str">
        <f t="shared" si="2"/>
        <v>0,0%</v>
      </c>
      <c r="J49" s="22" t="str">
        <f t="shared" ref="J49" si="57">IF(G49="","",IF($G$20/G49&lt;1,"менее 2,0",IF(10^((H49-INTERCEPT($I$10:$I$13,$H$10:$H$13))/SLOPE($I$10:$I$13,$H$10:$H$13))&gt;$B$13,"более "&amp;$B$13&amp;",0",IF(10^((H49-INTERCEPT($I$10:$I$13,$H$10:$H$13))/SLOPE($I$10:$I$13,$H$10:$H$13))&lt;2,"менее 2,0",ROUND(10^((H49-INTERCEPT($I$10:$I$13,$H$10:$H$13))/SLOPE($I$10:$I$13,$H$10:$H$13))*F48,2)))))</f>
        <v/>
      </c>
      <c r="K49" s="60" t="e">
        <f>VLOOKUP(D48,$R$4:$U$13,3,FALSE)</f>
        <v>#N/A</v>
      </c>
      <c r="L49" s="102"/>
      <c r="M49" s="82"/>
      <c r="N49" s="84"/>
      <c r="O49" s="86"/>
    </row>
    <row r="50" spans="1:15" x14ac:dyDescent="0.25">
      <c r="A50" s="89">
        <v>13</v>
      </c>
      <c r="B50" s="91"/>
      <c r="C50" s="92"/>
      <c r="D50" s="95">
        <v>1</v>
      </c>
      <c r="E50" s="96"/>
      <c r="F50" s="97">
        <v>1</v>
      </c>
      <c r="G50" s="58"/>
      <c r="H50" s="45" t="str">
        <f t="shared" si="7"/>
        <v/>
      </c>
      <c r="I50" s="99" t="str">
        <f>IF(OR(G51="",G50=""),"",STDEV(G50:G51)/AVERAGE(G50:G51))</f>
        <v/>
      </c>
      <c r="J50" s="22" t="str">
        <f t="shared" ref="J50" si="58">IF(G50="","",IF($G$20/G50&lt;1,"менее 2,0",IF(10^((H50-INTERCEPT($I$10:$I$13,$H$10:$H$13))/SLOPE($I$10:$I$13,$H$10:$H$13))&gt;$B$13,"более "&amp;$B$13&amp;",0",IF(10^((H50-INTERCEPT($I$10:$I$13,$H$10:$H$13))/SLOPE($I$10:$I$13,$H$10:$H$13))&lt;2,"менее 2,0",ROUND(10^((H50-INTERCEPT($I$10:$I$13,$H$10:$H$13))/SLOPE($I$10:$I$13,$H$10:$H$13))*F50,2)))))</f>
        <v/>
      </c>
      <c r="K50" s="59" t="e">
        <f>ABS(J50-J51)</f>
        <v>#VALUE!</v>
      </c>
      <c r="L50" s="101" t="str">
        <f t="shared" ref="L50" si="59">IF(M50="","",IF(M50="более "&amp;$B$13&amp;",0","",IF(M50="менее 2,0","",IF(0.01*M50*K51&gt;K50,"приемлемо","неприемлемо"))))</f>
        <v/>
      </c>
      <c r="M50" s="81" t="str">
        <f t="shared" ref="M50" si="60">IF(OR(J50="",J51=""),"",IF(OR(J50="менее 2,0",J51="менее 2,0"),"менее 2,0",IF(OR(J50="более "&amp;$B$13&amp;",0",J51="более "&amp;$B$13&amp;",0"),"более "&amp;$B$13&amp;",0",ROUND(AVERAGE(J50:J51),1))))</f>
        <v/>
      </c>
      <c r="N50" s="83" t="str">
        <f t="shared" ref="N50" si="61">IF(M50="","",IF(M50="более "&amp;$B$13&amp;",0","",IF(M50="менее 2,0","",0.01*M50*VLOOKUP(D50,$R$4:$U$13,4,FALSE))))</f>
        <v/>
      </c>
      <c r="O50" s="85"/>
    </row>
    <row r="51" spans="1:15" x14ac:dyDescent="0.25">
      <c r="A51" s="90"/>
      <c r="B51" s="93"/>
      <c r="C51" s="94"/>
      <c r="D51" s="87"/>
      <c r="E51" s="88"/>
      <c r="F51" s="98"/>
      <c r="G51" s="58"/>
      <c r="H51" s="45" t="str">
        <f t="shared" si="7"/>
        <v/>
      </c>
      <c r="I51" s="100" t="str">
        <f t="shared" si="2"/>
        <v>0,0%</v>
      </c>
      <c r="J51" s="22" t="str">
        <f t="shared" ref="J51" si="62">IF(G51="","",IF($G$20/G51&lt;1,"менее 2,0",IF(10^((H51-INTERCEPT($I$10:$I$13,$H$10:$H$13))/SLOPE($I$10:$I$13,$H$10:$H$13))&gt;$B$13,"более "&amp;$B$13&amp;",0",IF(10^((H51-INTERCEPT($I$10:$I$13,$H$10:$H$13))/SLOPE($I$10:$I$13,$H$10:$H$13))&lt;2,"менее 2,0",ROUND(10^((H51-INTERCEPT($I$10:$I$13,$H$10:$H$13))/SLOPE($I$10:$I$13,$H$10:$H$13))*F50,2)))))</f>
        <v/>
      </c>
      <c r="K51" s="60" t="e">
        <f>VLOOKUP(D50,$R$4:$U$13,3,FALSE)</f>
        <v>#N/A</v>
      </c>
      <c r="L51" s="102"/>
      <c r="M51" s="82"/>
      <c r="N51" s="84"/>
      <c r="O51" s="86"/>
    </row>
    <row r="52" spans="1:15" x14ac:dyDescent="0.25">
      <c r="A52" s="89">
        <v>14</v>
      </c>
      <c r="B52" s="91"/>
      <c r="C52" s="92"/>
      <c r="D52" s="95">
        <v>1</v>
      </c>
      <c r="E52" s="96"/>
      <c r="F52" s="97">
        <v>1</v>
      </c>
      <c r="G52" s="58"/>
      <c r="H52" s="45" t="str">
        <f t="shared" si="7"/>
        <v/>
      </c>
      <c r="I52" s="99" t="str">
        <f>IF(OR(G53="",G52=""),"",STDEV(G52:G53)/AVERAGE(G52:G53))</f>
        <v/>
      </c>
      <c r="J52" s="22" t="str">
        <f t="shared" ref="J52" si="63">IF(G52="","",IF($G$20/G52&lt;1,"менее 2,0",IF(10^((H52-INTERCEPT($I$10:$I$13,$H$10:$H$13))/SLOPE($I$10:$I$13,$H$10:$H$13))&gt;$B$13,"более "&amp;$B$13&amp;",0",IF(10^((H52-INTERCEPT($I$10:$I$13,$H$10:$H$13))/SLOPE($I$10:$I$13,$H$10:$H$13))&lt;2,"менее 2,0",ROUND(10^((H52-INTERCEPT($I$10:$I$13,$H$10:$H$13))/SLOPE($I$10:$I$13,$H$10:$H$13))*F52,2)))))</f>
        <v/>
      </c>
      <c r="K52" s="59" t="e">
        <f>ABS(J52-J53)</f>
        <v>#VALUE!</v>
      </c>
      <c r="L52" s="101" t="str">
        <f>IF(M52="","",IF(M52="более "&amp;$B$13&amp;",0","",IF(M52="менее 2,0","",IF(0.01*M52*K53&gt;K52,"приемлемо","неприемлемо"))))</f>
        <v/>
      </c>
      <c r="M52" s="81" t="str">
        <f t="shared" ref="M52" si="64">IF(OR(J52="",J53=""),"",IF(OR(J52="менее 2,0",J53="менее 2,0"),"менее 2,0",IF(OR(J52="более "&amp;$B$13&amp;",0",J53="более "&amp;$B$13&amp;",0"),"более "&amp;$B$13&amp;",0",ROUND(AVERAGE(J52:J53),1))))</f>
        <v/>
      </c>
      <c r="N52" s="83" t="str">
        <f t="shared" ref="N52" si="65">IF(M52="","",IF(M52="более "&amp;$B$13&amp;",0","",IF(M52="менее 2,0","",0.01*M52*VLOOKUP(D52,$R$4:$U$13,4,FALSE))))</f>
        <v/>
      </c>
      <c r="O52" s="85"/>
    </row>
    <row r="53" spans="1:15" x14ac:dyDescent="0.25">
      <c r="A53" s="90"/>
      <c r="B53" s="93"/>
      <c r="C53" s="94"/>
      <c r="D53" s="87"/>
      <c r="E53" s="88"/>
      <c r="F53" s="98"/>
      <c r="G53" s="58"/>
      <c r="H53" s="45" t="str">
        <f t="shared" si="7"/>
        <v/>
      </c>
      <c r="I53" s="100" t="str">
        <f t="shared" si="2"/>
        <v>0,0%</v>
      </c>
      <c r="J53" s="22" t="str">
        <f t="shared" ref="J53" si="66">IF(G53="","",IF($G$20/G53&lt;1,"менее 2,0",IF(10^((H53-INTERCEPT($I$10:$I$13,$H$10:$H$13))/SLOPE($I$10:$I$13,$H$10:$H$13))&gt;$B$13,"более "&amp;$B$13&amp;",0",IF(10^((H53-INTERCEPT($I$10:$I$13,$H$10:$H$13))/SLOPE($I$10:$I$13,$H$10:$H$13))&lt;2,"менее 2,0",ROUND(10^((H53-INTERCEPT($I$10:$I$13,$H$10:$H$13))/SLOPE($I$10:$I$13,$H$10:$H$13))*F52,2)))))</f>
        <v/>
      </c>
      <c r="K53" s="60" t="e">
        <f>VLOOKUP(D52,$R$4:$U$13,3,FALSE)</f>
        <v>#N/A</v>
      </c>
      <c r="L53" s="102"/>
      <c r="M53" s="82"/>
      <c r="N53" s="84"/>
      <c r="O53" s="86"/>
    </row>
    <row r="54" spans="1:15" x14ac:dyDescent="0.25">
      <c r="A54" s="89">
        <v>15</v>
      </c>
      <c r="B54" s="91"/>
      <c r="C54" s="92"/>
      <c r="D54" s="95">
        <v>1</v>
      </c>
      <c r="E54" s="96"/>
      <c r="F54" s="97">
        <v>1</v>
      </c>
      <c r="G54" s="58"/>
      <c r="H54" s="45" t="str">
        <f t="shared" si="7"/>
        <v/>
      </c>
      <c r="I54" s="99" t="str">
        <f>IF(OR(G55="",G54=""),"",STDEV(G54:G55)/AVERAGE(G54:G55))</f>
        <v/>
      </c>
      <c r="J54" s="22" t="str">
        <f t="shared" ref="J54" si="67">IF(G54="","",IF($G$20/G54&lt;1,"менее 2,0",IF(10^((H54-INTERCEPT($I$10:$I$13,$H$10:$H$13))/SLOPE($I$10:$I$13,$H$10:$H$13))&gt;$B$13,"более "&amp;$B$13&amp;",0",IF(10^((H54-INTERCEPT($I$10:$I$13,$H$10:$H$13))/SLOPE($I$10:$I$13,$H$10:$H$13))&lt;2,"менее 2,0",ROUND(10^((H54-INTERCEPT($I$10:$I$13,$H$10:$H$13))/SLOPE($I$10:$I$13,$H$10:$H$13))*F54,2)))))</f>
        <v/>
      </c>
      <c r="K54" s="59" t="e">
        <f>ABS(J54-J55)</f>
        <v>#VALUE!</v>
      </c>
      <c r="L54" s="101" t="str">
        <f t="shared" ref="L54" si="68">IF(M54="","",IF(M54="более "&amp;$B$13&amp;",0","",IF(M54="менее 2,0","",IF(0.01*M54*K55&gt;K54,"приемлемо","неприемлемо"))))</f>
        <v/>
      </c>
      <c r="M54" s="81" t="str">
        <f t="shared" ref="M54" si="69">IF(OR(J54="",J55=""),"",IF(OR(J54="менее 2,0",J55="менее 2,0"),"менее 2,0",IF(OR(J54="более "&amp;$B$13&amp;",0",J55="более "&amp;$B$13&amp;",0"),"более "&amp;$B$13&amp;",0",ROUND(AVERAGE(J54:J55),1))))</f>
        <v/>
      </c>
      <c r="N54" s="83" t="str">
        <f t="shared" ref="N54" si="70">IF(M54="","",IF(M54="более "&amp;$B$13&amp;",0","",IF(M54="менее 2,0","",0.01*M54*VLOOKUP(D54,$R$4:$U$13,4,FALSE))))</f>
        <v/>
      </c>
      <c r="O54" s="85"/>
    </row>
    <row r="55" spans="1:15" x14ac:dyDescent="0.25">
      <c r="A55" s="90"/>
      <c r="B55" s="93"/>
      <c r="C55" s="94"/>
      <c r="D55" s="87"/>
      <c r="E55" s="88"/>
      <c r="F55" s="98"/>
      <c r="G55" s="58"/>
      <c r="H55" s="45" t="str">
        <f t="shared" si="7"/>
        <v/>
      </c>
      <c r="I55" s="100" t="str">
        <f t="shared" si="2"/>
        <v>0,0%</v>
      </c>
      <c r="J55" s="22" t="str">
        <f t="shared" ref="J55" si="71">IF(G55="","",IF($G$20/G55&lt;1,"менее 2,0",IF(10^((H55-INTERCEPT($I$10:$I$13,$H$10:$H$13))/SLOPE($I$10:$I$13,$H$10:$H$13))&gt;$B$13,"более "&amp;$B$13&amp;",0",IF(10^((H55-INTERCEPT($I$10:$I$13,$H$10:$H$13))/SLOPE($I$10:$I$13,$H$10:$H$13))&lt;2,"менее 2,0",ROUND(10^((H55-INTERCEPT($I$10:$I$13,$H$10:$H$13))/SLOPE($I$10:$I$13,$H$10:$H$13))*F54,2)))))</f>
        <v/>
      </c>
      <c r="K55" s="60" t="e">
        <f>VLOOKUP(D54,$R$4:$U$13,3,FALSE)</f>
        <v>#N/A</v>
      </c>
      <c r="L55" s="102"/>
      <c r="M55" s="82"/>
      <c r="N55" s="84"/>
      <c r="O55" s="86"/>
    </row>
    <row r="56" spans="1:15" x14ac:dyDescent="0.25">
      <c r="A56" s="89">
        <v>16</v>
      </c>
      <c r="B56" s="91"/>
      <c r="C56" s="92"/>
      <c r="D56" s="95">
        <v>1</v>
      </c>
      <c r="E56" s="96"/>
      <c r="F56" s="97">
        <v>1</v>
      </c>
      <c r="G56" s="58"/>
      <c r="H56" s="45" t="str">
        <f t="shared" si="7"/>
        <v/>
      </c>
      <c r="I56" s="99" t="str">
        <f>IF(OR(G57="",G56=""),"",STDEV(G56:G57)/AVERAGE(G56:G57))</f>
        <v/>
      </c>
      <c r="J56" s="22" t="str">
        <f t="shared" ref="J56" si="72">IF(G56="","",IF($G$20/G56&lt;1,"менее 2,0",IF(10^((H56-INTERCEPT($I$10:$I$13,$H$10:$H$13))/SLOPE($I$10:$I$13,$H$10:$H$13))&gt;$B$13,"более "&amp;$B$13&amp;",0",IF(10^((H56-INTERCEPT($I$10:$I$13,$H$10:$H$13))/SLOPE($I$10:$I$13,$H$10:$H$13))&lt;2,"менее 2,0",ROUND(10^((H56-INTERCEPT($I$10:$I$13,$H$10:$H$13))/SLOPE($I$10:$I$13,$H$10:$H$13))*F56,2)))))</f>
        <v/>
      </c>
      <c r="K56" s="59" t="e">
        <f>ABS(J56-J57)</f>
        <v>#VALUE!</v>
      </c>
      <c r="L56" s="101" t="str">
        <f t="shared" ref="L56" si="73">IF(M56="","",IF(M56="более "&amp;$B$13&amp;",0","",IF(M56="менее 2,0","",IF(0.01*M56*K57&gt;K56,"приемлемо","неприемлемо"))))</f>
        <v/>
      </c>
      <c r="M56" s="81" t="str">
        <f t="shared" ref="M56" si="74">IF(OR(J56="",J57=""),"",IF(OR(J56="менее 2,0",J57="менее 2,0"),"менее 2,0",IF(OR(J56="более "&amp;$B$13&amp;",0",J57="более "&amp;$B$13&amp;",0"),"более "&amp;$B$13&amp;",0",ROUND(AVERAGE(J56:J57),1))))</f>
        <v/>
      </c>
      <c r="N56" s="83" t="str">
        <f t="shared" ref="N56" si="75">IF(M56="","",IF(M56="более "&amp;$B$13&amp;",0","",IF(M56="менее 2,0","",0.01*M56*VLOOKUP(D56,$R$4:$U$13,4,FALSE))))</f>
        <v/>
      </c>
      <c r="O56" s="85"/>
    </row>
    <row r="57" spans="1:15" x14ac:dyDescent="0.25">
      <c r="A57" s="90"/>
      <c r="B57" s="93"/>
      <c r="C57" s="94"/>
      <c r="D57" s="87"/>
      <c r="E57" s="88"/>
      <c r="F57" s="98"/>
      <c r="G57" s="58"/>
      <c r="H57" s="45" t="str">
        <f t="shared" si="7"/>
        <v/>
      </c>
      <c r="I57" s="100" t="str">
        <f t="shared" si="2"/>
        <v>0,0%</v>
      </c>
      <c r="J57" s="22" t="str">
        <f t="shared" ref="J57" si="76">IF(G57="","",IF($G$20/G57&lt;1,"менее 2,0",IF(10^((H57-INTERCEPT($I$10:$I$13,$H$10:$H$13))/SLOPE($I$10:$I$13,$H$10:$H$13))&gt;$B$13,"более "&amp;$B$13&amp;",0",IF(10^((H57-INTERCEPT($I$10:$I$13,$H$10:$H$13))/SLOPE($I$10:$I$13,$H$10:$H$13))&lt;2,"менее 2,0",ROUND(10^((H57-INTERCEPT($I$10:$I$13,$H$10:$H$13))/SLOPE($I$10:$I$13,$H$10:$H$13))*F56,2)))))</f>
        <v/>
      </c>
      <c r="K57" s="60" t="e">
        <f>VLOOKUP(D56,$R$4:$U$13,3,FALSE)</f>
        <v>#N/A</v>
      </c>
      <c r="L57" s="102"/>
      <c r="M57" s="82"/>
      <c r="N57" s="84"/>
      <c r="O57" s="86"/>
    </row>
    <row r="58" spans="1:15" x14ac:dyDescent="0.25">
      <c r="A58" s="89">
        <v>17</v>
      </c>
      <c r="B58" s="91"/>
      <c r="C58" s="92"/>
      <c r="D58" s="95">
        <v>1</v>
      </c>
      <c r="E58" s="96"/>
      <c r="F58" s="97">
        <v>1</v>
      </c>
      <c r="G58" s="58"/>
      <c r="H58" s="45" t="str">
        <f t="shared" si="7"/>
        <v/>
      </c>
      <c r="I58" s="99" t="str">
        <f>IF(OR(G59="",G58=""),"",STDEV(G58:G59)/AVERAGE(G58:G59))</f>
        <v/>
      </c>
      <c r="J58" s="22" t="str">
        <f t="shared" ref="J58" si="77">IF(G58="","",IF($G$20/G58&lt;1,"менее 2,0",IF(10^((H58-INTERCEPT($I$10:$I$13,$H$10:$H$13))/SLOPE($I$10:$I$13,$H$10:$H$13))&gt;$B$13,"более "&amp;$B$13&amp;",0",IF(10^((H58-INTERCEPT($I$10:$I$13,$H$10:$H$13))/SLOPE($I$10:$I$13,$H$10:$H$13))&lt;2,"менее 2,0",ROUND(10^((H58-INTERCEPT($I$10:$I$13,$H$10:$H$13))/SLOPE($I$10:$I$13,$H$10:$H$13))*F58,2)))))</f>
        <v/>
      </c>
      <c r="K58" s="59" t="e">
        <f>ABS(J58-J59)</f>
        <v>#VALUE!</v>
      </c>
      <c r="L58" s="101" t="str">
        <f t="shared" ref="L58" si="78">IF(M58="","",IF(M58="более "&amp;$B$13&amp;",0","",IF(M58="менее 2,0","",IF(0.01*M58*K59&gt;K58,"приемлемо","неприемлемо"))))</f>
        <v/>
      </c>
      <c r="M58" s="81" t="str">
        <f t="shared" ref="M58" si="79">IF(OR(J58="",J59=""),"",IF(OR(J58="менее 2,0",J59="менее 2,0"),"менее 2,0",IF(OR(J58="более "&amp;$B$13&amp;",0",J59="более "&amp;$B$13&amp;",0"),"более "&amp;$B$13&amp;",0",ROUND(AVERAGE(J58:J59),1))))</f>
        <v/>
      </c>
      <c r="N58" s="83" t="str">
        <f t="shared" ref="N58" si="80">IF(M58="","",IF(M58="более "&amp;$B$13&amp;",0","",IF(M58="менее 2,0","",0.01*M58*VLOOKUP(D58,$R$4:$U$13,4,FALSE))))</f>
        <v/>
      </c>
      <c r="O58" s="85"/>
    </row>
    <row r="59" spans="1:15" x14ac:dyDescent="0.25">
      <c r="A59" s="90"/>
      <c r="B59" s="93"/>
      <c r="C59" s="94"/>
      <c r="D59" s="87"/>
      <c r="E59" s="88"/>
      <c r="F59" s="98"/>
      <c r="G59" s="58"/>
      <c r="H59" s="45" t="str">
        <f t="shared" si="7"/>
        <v/>
      </c>
      <c r="I59" s="100" t="str">
        <f t="shared" si="2"/>
        <v>0,0%</v>
      </c>
      <c r="J59" s="22" t="str">
        <f t="shared" ref="J59" si="81">IF(G59="","",IF($G$20/G59&lt;1,"менее 2,0",IF(10^((H59-INTERCEPT($I$10:$I$13,$H$10:$H$13))/SLOPE($I$10:$I$13,$H$10:$H$13))&gt;$B$13,"более "&amp;$B$13&amp;",0",IF(10^((H59-INTERCEPT($I$10:$I$13,$H$10:$H$13))/SLOPE($I$10:$I$13,$H$10:$H$13))&lt;2,"менее 2,0",ROUND(10^((H59-INTERCEPT($I$10:$I$13,$H$10:$H$13))/SLOPE($I$10:$I$13,$H$10:$H$13))*F58,2)))))</f>
        <v/>
      </c>
      <c r="K59" s="60" t="e">
        <f>VLOOKUP(D58,$R$4:$U$13,3,FALSE)</f>
        <v>#N/A</v>
      </c>
      <c r="L59" s="102"/>
      <c r="M59" s="82"/>
      <c r="N59" s="84"/>
      <c r="O59" s="86"/>
    </row>
    <row r="60" spans="1:15" x14ac:dyDescent="0.25">
      <c r="A60" s="89">
        <v>18</v>
      </c>
      <c r="B60" s="91"/>
      <c r="C60" s="92"/>
      <c r="D60" s="95">
        <v>1</v>
      </c>
      <c r="E60" s="96"/>
      <c r="F60" s="97">
        <v>1</v>
      </c>
      <c r="G60" s="58"/>
      <c r="H60" s="45" t="str">
        <f t="shared" si="7"/>
        <v/>
      </c>
      <c r="I60" s="99" t="str">
        <f>IF(OR(G61="",G60=""),"",STDEV(G60:G61)/AVERAGE(G60:G61))</f>
        <v/>
      </c>
      <c r="J60" s="22" t="str">
        <f t="shared" ref="J60" si="82">IF(G60="","",IF($G$20/G60&lt;1,"менее 2,0",IF(10^((H60-INTERCEPT($I$10:$I$13,$H$10:$H$13))/SLOPE($I$10:$I$13,$H$10:$H$13))&gt;$B$13,"более "&amp;$B$13&amp;",0",IF(10^((H60-INTERCEPT($I$10:$I$13,$H$10:$H$13))/SLOPE($I$10:$I$13,$H$10:$H$13))&lt;2,"менее 2,0",ROUND(10^((H60-INTERCEPT($I$10:$I$13,$H$10:$H$13))/SLOPE($I$10:$I$13,$H$10:$H$13))*F60,2)))))</f>
        <v/>
      </c>
      <c r="K60" s="59" t="e">
        <f>ABS(J60-J61)</f>
        <v>#VALUE!</v>
      </c>
      <c r="L60" s="101" t="str">
        <f t="shared" ref="L60" si="83">IF(M60="","",IF(M60="более "&amp;$B$13&amp;",0","",IF(M60="менее 2,0","",IF(0.01*M60*K61&gt;K60,"приемлемо","неприемлемо"))))</f>
        <v/>
      </c>
      <c r="M60" s="81" t="str">
        <f t="shared" ref="M60" si="84">IF(OR(J60="",J61=""),"",IF(OR(J60="менее 2,0",J61="менее 2,0"),"менее 2,0",IF(OR(J60="более "&amp;$B$13&amp;",0",J61="более "&amp;$B$13&amp;",0"),"более "&amp;$B$13&amp;",0",ROUND(AVERAGE(J60:J61),1))))</f>
        <v/>
      </c>
      <c r="N60" s="83" t="str">
        <f t="shared" ref="N60" si="85">IF(M60="","",IF(M60="более "&amp;$B$13&amp;",0","",IF(M60="менее 2,0","",0.01*M60*VLOOKUP(D60,$R$4:$U$13,4,FALSE))))</f>
        <v/>
      </c>
      <c r="O60" s="85"/>
    </row>
    <row r="61" spans="1:15" x14ac:dyDescent="0.25">
      <c r="A61" s="90"/>
      <c r="B61" s="93"/>
      <c r="C61" s="94"/>
      <c r="D61" s="87"/>
      <c r="E61" s="88"/>
      <c r="F61" s="98"/>
      <c r="G61" s="58"/>
      <c r="H61" s="45" t="str">
        <f t="shared" si="7"/>
        <v/>
      </c>
      <c r="I61" s="100" t="str">
        <f t="shared" si="2"/>
        <v>0,0%</v>
      </c>
      <c r="J61" s="22" t="str">
        <f t="shared" ref="J61" si="86">IF(G61="","",IF($G$20/G61&lt;1,"менее 2,0",IF(10^((H61-INTERCEPT($I$10:$I$13,$H$10:$H$13))/SLOPE($I$10:$I$13,$H$10:$H$13))&gt;$B$13,"более "&amp;$B$13&amp;",0",IF(10^((H61-INTERCEPT($I$10:$I$13,$H$10:$H$13))/SLOPE($I$10:$I$13,$H$10:$H$13))&lt;2,"менее 2,0",ROUND(10^((H61-INTERCEPT($I$10:$I$13,$H$10:$H$13))/SLOPE($I$10:$I$13,$H$10:$H$13))*F60,2)))))</f>
        <v/>
      </c>
      <c r="K61" s="60" t="e">
        <f>VLOOKUP(D60,$R$4:$U$13,3,FALSE)</f>
        <v>#N/A</v>
      </c>
      <c r="L61" s="102"/>
      <c r="M61" s="82"/>
      <c r="N61" s="84"/>
      <c r="O61" s="86"/>
    </row>
    <row r="62" spans="1:15" x14ac:dyDescent="0.25">
      <c r="A62" s="89">
        <v>19</v>
      </c>
      <c r="B62" s="91"/>
      <c r="C62" s="92"/>
      <c r="D62" s="95">
        <v>1</v>
      </c>
      <c r="E62" s="96"/>
      <c r="F62" s="97">
        <v>1</v>
      </c>
      <c r="G62" s="58"/>
      <c r="H62" s="45" t="str">
        <f t="shared" si="7"/>
        <v/>
      </c>
      <c r="I62" s="99" t="str">
        <f>IF(OR(G63="",G62=""),"",STDEV(G62:G63)/AVERAGE(G62:G63))</f>
        <v/>
      </c>
      <c r="J62" s="22" t="str">
        <f t="shared" ref="J62" si="87">IF(G62="","",IF($G$20/G62&lt;1,"менее 2,0",IF(10^((H62-INTERCEPT($I$10:$I$13,$H$10:$H$13))/SLOPE($I$10:$I$13,$H$10:$H$13))&gt;$B$13,"более "&amp;$B$13&amp;",0",IF(10^((H62-INTERCEPT($I$10:$I$13,$H$10:$H$13))/SLOPE($I$10:$I$13,$H$10:$H$13))&lt;2,"менее 2,0",ROUND(10^((H62-INTERCEPT($I$10:$I$13,$H$10:$H$13))/SLOPE($I$10:$I$13,$H$10:$H$13))*F62,2)))))</f>
        <v/>
      </c>
      <c r="K62" s="59" t="e">
        <f>ABS(J62-J63)</f>
        <v>#VALUE!</v>
      </c>
      <c r="L62" s="101" t="str">
        <f t="shared" ref="L62" si="88">IF(M62="","",IF(M62="более "&amp;$B$13&amp;",0","",IF(M62="менее 2,0","",IF(0.01*M62*K63&gt;K62,"приемлемо","неприемлемо"))))</f>
        <v/>
      </c>
      <c r="M62" s="81" t="str">
        <f t="shared" ref="M62" si="89">IF(OR(J62="",J63=""),"",IF(OR(J62="менее 2,0",J63="менее 2,0"),"менее 2,0",IF(OR(J62="более "&amp;$B$13&amp;",0",J63="более "&amp;$B$13&amp;",0"),"более "&amp;$B$13&amp;",0",ROUND(AVERAGE(J62:J63),1))))</f>
        <v/>
      </c>
      <c r="N62" s="83" t="str">
        <f t="shared" ref="N62" si="90">IF(M62="","",IF(M62="более "&amp;$B$13&amp;",0","",IF(M62="менее 2,0","",0.01*M62*VLOOKUP(D62,$R$4:$U$13,4,FALSE))))</f>
        <v/>
      </c>
      <c r="O62" s="85"/>
    </row>
    <row r="63" spans="1:15" x14ac:dyDescent="0.25">
      <c r="A63" s="90"/>
      <c r="B63" s="93"/>
      <c r="C63" s="94"/>
      <c r="D63" s="87"/>
      <c r="E63" s="88"/>
      <c r="F63" s="98"/>
      <c r="G63" s="58"/>
      <c r="H63" s="45" t="str">
        <f t="shared" si="7"/>
        <v/>
      </c>
      <c r="I63" s="100" t="str">
        <f t="shared" si="2"/>
        <v>0,0%</v>
      </c>
      <c r="J63" s="22" t="str">
        <f t="shared" ref="J63" si="91">IF(G63="","",IF($G$20/G63&lt;1,"менее 2,0",IF(10^((H63-INTERCEPT($I$10:$I$13,$H$10:$H$13))/SLOPE($I$10:$I$13,$H$10:$H$13))&gt;$B$13,"более "&amp;$B$13&amp;",0",IF(10^((H63-INTERCEPT($I$10:$I$13,$H$10:$H$13))/SLOPE($I$10:$I$13,$H$10:$H$13))&lt;2,"менее 2,0",ROUND(10^((H63-INTERCEPT($I$10:$I$13,$H$10:$H$13))/SLOPE($I$10:$I$13,$H$10:$H$13))*F62,2)))))</f>
        <v/>
      </c>
      <c r="K63" s="60" t="e">
        <f>VLOOKUP(D62,$R$4:$U$13,3,FALSE)</f>
        <v>#N/A</v>
      </c>
      <c r="L63" s="102"/>
      <c r="M63" s="82"/>
      <c r="N63" s="84"/>
      <c r="O63" s="86"/>
    </row>
    <row r="64" spans="1:15" x14ac:dyDescent="0.25">
      <c r="A64" s="89">
        <v>20</v>
      </c>
      <c r="B64" s="91"/>
      <c r="C64" s="92"/>
      <c r="D64" s="95">
        <v>1</v>
      </c>
      <c r="E64" s="96"/>
      <c r="F64" s="97">
        <v>1</v>
      </c>
      <c r="G64" s="58"/>
      <c r="H64" s="45" t="str">
        <f>IF(G64="","",LOG(((G64/G$20)/(1-(G64/G$20)))))</f>
        <v/>
      </c>
      <c r="I64" s="99" t="str">
        <f>IF(OR(G65="",G64=""),"",STDEV(G64:G65)/AVERAGE(G64:G65))</f>
        <v/>
      </c>
      <c r="J64" s="22" t="str">
        <f t="shared" ref="J64" si="92">IF(G64="","",IF($G$20/G64&lt;1,"менее 2,0",IF(10^((H64-INTERCEPT($I$10:$I$13,$H$10:$H$13))/SLOPE($I$10:$I$13,$H$10:$H$13))&gt;$B$13,"более "&amp;$B$13&amp;",0",IF(10^((H64-INTERCEPT($I$10:$I$13,$H$10:$H$13))/SLOPE($I$10:$I$13,$H$10:$H$13))&lt;2,"менее 2,0",ROUND(10^((H64-INTERCEPT($I$10:$I$13,$H$10:$H$13))/SLOPE($I$10:$I$13,$H$10:$H$13))*F64,2)))))</f>
        <v/>
      </c>
      <c r="K64" s="59" t="e">
        <f>ABS(J64-J65)</f>
        <v>#VALUE!</v>
      </c>
      <c r="L64" s="101" t="str">
        <f t="shared" ref="L64" si="93">IF(M64="","",IF(M64="более "&amp;$B$13&amp;",0","",IF(M64="менее 2,0","",IF(0.01*M64*K65&gt;K64,"приемлемо","неприемлемо"))))</f>
        <v/>
      </c>
      <c r="M64" s="81" t="str">
        <f t="shared" ref="M64" si="94">IF(OR(J64="",J65=""),"",IF(OR(J64="менее 2,0",J65="менее 2,0"),"менее 2,0",IF(OR(J64="более "&amp;$B$13&amp;",0",J65="более "&amp;$B$13&amp;",0"),"более "&amp;$B$13&amp;",0",ROUND(AVERAGE(J64:J65),1))))</f>
        <v/>
      </c>
      <c r="N64" s="83" t="str">
        <f t="shared" ref="N64" si="95">IF(M64="","",IF(M64="более "&amp;$B$13&amp;",0","",IF(M64="менее 2,0","",0.01*M64*VLOOKUP(D64,$R$4:$U$13,4,FALSE))))</f>
        <v/>
      </c>
      <c r="O64" s="85"/>
    </row>
    <row r="65" spans="1:15" x14ac:dyDescent="0.25">
      <c r="A65" s="90"/>
      <c r="B65" s="93"/>
      <c r="C65" s="94"/>
      <c r="D65" s="87"/>
      <c r="E65" s="88"/>
      <c r="F65" s="98"/>
      <c r="G65" s="58"/>
      <c r="H65" s="45" t="str">
        <f t="shared" si="7"/>
        <v/>
      </c>
      <c r="I65" s="100" t="str">
        <f>IF(G65=H65,"0,0%",STDEV(G65:H65)/AVERAGE(G65:H65))</f>
        <v>0,0%</v>
      </c>
      <c r="J65" s="22" t="str">
        <f t="shared" ref="J65" si="96">IF(G65="","",IF($G$20/G65&lt;1,"менее 2,0",IF(10^((H65-INTERCEPT($I$10:$I$13,$H$10:$H$13))/SLOPE($I$10:$I$13,$H$10:$H$13))&gt;$B$13,"более "&amp;$B$13&amp;",0",IF(10^((H65-INTERCEPT($I$10:$I$13,$H$10:$H$13))/SLOPE($I$10:$I$13,$H$10:$H$13))&lt;2,"менее 2,0",ROUND(10^((H65-INTERCEPT($I$10:$I$13,$H$10:$H$13))/SLOPE($I$10:$I$13,$H$10:$H$13))*F64,2)))))</f>
        <v/>
      </c>
      <c r="K65" s="60" t="e">
        <f>VLOOKUP(D64,$R$4:$U$13,3,FALSE)</f>
        <v>#N/A</v>
      </c>
      <c r="L65" s="102"/>
      <c r="M65" s="82"/>
      <c r="N65" s="84"/>
      <c r="O65" s="86"/>
    </row>
  </sheetData>
  <mergeCells count="229">
    <mergeCell ref="A62:A63"/>
    <mergeCell ref="B62:C63"/>
    <mergeCell ref="D62:E62"/>
    <mergeCell ref="F62:F63"/>
    <mergeCell ref="I62:I63"/>
    <mergeCell ref="L62:L63"/>
    <mergeCell ref="M64:M65"/>
    <mergeCell ref="N64:N65"/>
    <mergeCell ref="O64:O65"/>
    <mergeCell ref="D65:E65"/>
    <mergeCell ref="M62:M63"/>
    <mergeCell ref="N62:N63"/>
    <mergeCell ref="O62:O63"/>
    <mergeCell ref="D63:E63"/>
    <mergeCell ref="A64:A65"/>
    <mergeCell ref="B64:C65"/>
    <mergeCell ref="D64:E64"/>
    <mergeCell ref="F64:F65"/>
    <mergeCell ref="I64:I65"/>
    <mergeCell ref="L64:L65"/>
    <mergeCell ref="A60:A61"/>
    <mergeCell ref="B60:C61"/>
    <mergeCell ref="D60:E60"/>
    <mergeCell ref="F60:F61"/>
    <mergeCell ref="I60:I61"/>
    <mergeCell ref="L60:L61"/>
    <mergeCell ref="M60:M61"/>
    <mergeCell ref="N60:N61"/>
    <mergeCell ref="O60:O61"/>
    <mergeCell ref="D61:E61"/>
    <mergeCell ref="A58:A59"/>
    <mergeCell ref="B58:C59"/>
    <mergeCell ref="D58:E58"/>
    <mergeCell ref="F58:F59"/>
    <mergeCell ref="I58:I59"/>
    <mergeCell ref="L58:L59"/>
    <mergeCell ref="M58:M59"/>
    <mergeCell ref="N58:N59"/>
    <mergeCell ref="O58:O59"/>
    <mergeCell ref="D59:E59"/>
    <mergeCell ref="A56:A57"/>
    <mergeCell ref="B56:C57"/>
    <mergeCell ref="D56:E56"/>
    <mergeCell ref="F56:F57"/>
    <mergeCell ref="I56:I57"/>
    <mergeCell ref="L56:L57"/>
    <mergeCell ref="M56:M57"/>
    <mergeCell ref="N56:N57"/>
    <mergeCell ref="O56:O57"/>
    <mergeCell ref="D57:E57"/>
    <mergeCell ref="A54:A55"/>
    <mergeCell ref="B54:C55"/>
    <mergeCell ref="D54:E54"/>
    <mergeCell ref="F54:F55"/>
    <mergeCell ref="I54:I55"/>
    <mergeCell ref="L54:L55"/>
    <mergeCell ref="M54:M55"/>
    <mergeCell ref="N54:N55"/>
    <mergeCell ref="O54:O55"/>
    <mergeCell ref="D55:E55"/>
    <mergeCell ref="A52:A53"/>
    <mergeCell ref="B52:C53"/>
    <mergeCell ref="D52:E52"/>
    <mergeCell ref="F52:F53"/>
    <mergeCell ref="I52:I53"/>
    <mergeCell ref="L52:L53"/>
    <mergeCell ref="M52:M53"/>
    <mergeCell ref="N52:N53"/>
    <mergeCell ref="O52:O53"/>
    <mergeCell ref="D53:E53"/>
    <mergeCell ref="A50:A51"/>
    <mergeCell ref="B50:C51"/>
    <mergeCell ref="D50:E50"/>
    <mergeCell ref="F50:F51"/>
    <mergeCell ref="I50:I51"/>
    <mergeCell ref="L50:L51"/>
    <mergeCell ref="M50:M51"/>
    <mergeCell ref="N50:N51"/>
    <mergeCell ref="O50:O51"/>
    <mergeCell ref="D51:E51"/>
    <mergeCell ref="A48:A49"/>
    <mergeCell ref="B48:C49"/>
    <mergeCell ref="D48:E48"/>
    <mergeCell ref="F48:F49"/>
    <mergeCell ref="I48:I49"/>
    <mergeCell ref="L48:L49"/>
    <mergeCell ref="M48:M49"/>
    <mergeCell ref="N48:N49"/>
    <mergeCell ref="O48:O49"/>
    <mergeCell ref="D49:E49"/>
    <mergeCell ref="A46:A47"/>
    <mergeCell ref="B46:C47"/>
    <mergeCell ref="D46:E46"/>
    <mergeCell ref="F46:F47"/>
    <mergeCell ref="I46:I47"/>
    <mergeCell ref="L46:L47"/>
    <mergeCell ref="M46:M47"/>
    <mergeCell ref="N46:N47"/>
    <mergeCell ref="O46:O47"/>
    <mergeCell ref="D47:E47"/>
    <mergeCell ref="A44:A45"/>
    <mergeCell ref="B44:C45"/>
    <mergeCell ref="D44:E44"/>
    <mergeCell ref="F44:F45"/>
    <mergeCell ref="I44:I45"/>
    <mergeCell ref="L44:L45"/>
    <mergeCell ref="M44:M45"/>
    <mergeCell ref="N44:N45"/>
    <mergeCell ref="O44:O45"/>
    <mergeCell ref="D45:E45"/>
    <mergeCell ref="A42:A43"/>
    <mergeCell ref="B42:C43"/>
    <mergeCell ref="D42:E42"/>
    <mergeCell ref="F42:F43"/>
    <mergeCell ref="I42:I43"/>
    <mergeCell ref="L42:L43"/>
    <mergeCell ref="M42:M43"/>
    <mergeCell ref="N42:N43"/>
    <mergeCell ref="O42:O43"/>
    <mergeCell ref="D43:E43"/>
    <mergeCell ref="A40:A41"/>
    <mergeCell ref="B40:C41"/>
    <mergeCell ref="D40:E40"/>
    <mergeCell ref="F40:F41"/>
    <mergeCell ref="I40:I41"/>
    <mergeCell ref="L40:L41"/>
    <mergeCell ref="M40:M41"/>
    <mergeCell ref="N40:N41"/>
    <mergeCell ref="O40:O41"/>
    <mergeCell ref="D41:E41"/>
    <mergeCell ref="A38:A39"/>
    <mergeCell ref="B38:C39"/>
    <mergeCell ref="D38:E38"/>
    <mergeCell ref="F38:F39"/>
    <mergeCell ref="I38:I39"/>
    <mergeCell ref="L38:L39"/>
    <mergeCell ref="M38:M39"/>
    <mergeCell ref="N38:N39"/>
    <mergeCell ref="O38:O39"/>
    <mergeCell ref="D39:E39"/>
    <mergeCell ref="A36:A37"/>
    <mergeCell ref="B36:C37"/>
    <mergeCell ref="D36:E36"/>
    <mergeCell ref="F36:F37"/>
    <mergeCell ref="I36:I37"/>
    <mergeCell ref="L36:L37"/>
    <mergeCell ref="M36:M37"/>
    <mergeCell ref="N36:N37"/>
    <mergeCell ref="O36:O37"/>
    <mergeCell ref="D37:E37"/>
    <mergeCell ref="A34:A35"/>
    <mergeCell ref="B34:C35"/>
    <mergeCell ref="D34:E34"/>
    <mergeCell ref="F34:F35"/>
    <mergeCell ref="I34:I35"/>
    <mergeCell ref="L34:L35"/>
    <mergeCell ref="M34:M35"/>
    <mergeCell ref="N34:N35"/>
    <mergeCell ref="O34:O35"/>
    <mergeCell ref="D35:E35"/>
    <mergeCell ref="A32:A33"/>
    <mergeCell ref="B32:C33"/>
    <mergeCell ref="D32:E32"/>
    <mergeCell ref="F32:F33"/>
    <mergeCell ref="I32:I33"/>
    <mergeCell ref="L32:L33"/>
    <mergeCell ref="M32:M33"/>
    <mergeCell ref="N32:N33"/>
    <mergeCell ref="O32:O33"/>
    <mergeCell ref="D33:E33"/>
    <mergeCell ref="A30:A31"/>
    <mergeCell ref="B30:C31"/>
    <mergeCell ref="D30:E30"/>
    <mergeCell ref="F30:F31"/>
    <mergeCell ref="I30:I31"/>
    <mergeCell ref="L30:L31"/>
    <mergeCell ref="M30:M31"/>
    <mergeCell ref="N30:N31"/>
    <mergeCell ref="O30:O31"/>
    <mergeCell ref="D31:E31"/>
    <mergeCell ref="M26:M27"/>
    <mergeCell ref="N26:N27"/>
    <mergeCell ref="O26:O27"/>
    <mergeCell ref="D27:E27"/>
    <mergeCell ref="A28:A29"/>
    <mergeCell ref="B28:C29"/>
    <mergeCell ref="D28:E28"/>
    <mergeCell ref="F28:F29"/>
    <mergeCell ref="I28:I29"/>
    <mergeCell ref="L28:L29"/>
    <mergeCell ref="A26:A27"/>
    <mergeCell ref="B26:C27"/>
    <mergeCell ref="D26:E26"/>
    <mergeCell ref="F26:F27"/>
    <mergeCell ref="I26:I27"/>
    <mergeCell ref="L26:L27"/>
    <mergeCell ref="M28:M29"/>
    <mergeCell ref="N28:N29"/>
    <mergeCell ref="O28:O29"/>
    <mergeCell ref="D29:E29"/>
    <mergeCell ref="B24:C24"/>
    <mergeCell ref="D24:E24"/>
    <mergeCell ref="M24:N24"/>
    <mergeCell ref="B25:C25"/>
    <mergeCell ref="D25:E25"/>
    <mergeCell ref="B22:C22"/>
    <mergeCell ref="D22:E22"/>
    <mergeCell ref="M22:N22"/>
    <mergeCell ref="B23:C23"/>
    <mergeCell ref="D23:E23"/>
    <mergeCell ref="M23:N23"/>
    <mergeCell ref="B21:C21"/>
    <mergeCell ref="D21:E21"/>
    <mergeCell ref="M21:N21"/>
    <mergeCell ref="A6:B6"/>
    <mergeCell ref="C6:H6"/>
    <mergeCell ref="A8:C8"/>
    <mergeCell ref="D8:E8"/>
    <mergeCell ref="B19:C19"/>
    <mergeCell ref="D19:E19"/>
    <mergeCell ref="A3:B3"/>
    <mergeCell ref="C3:H3"/>
    <mergeCell ref="A4:B4"/>
    <mergeCell ref="C4:H4"/>
    <mergeCell ref="A5:B5"/>
    <mergeCell ref="C5:H5"/>
    <mergeCell ref="M19:N19"/>
    <mergeCell ref="B20:C20"/>
    <mergeCell ref="D20:E20"/>
  </mergeCells>
  <pageMargins left="0.7" right="0.7" top="0.32" bottom="0.32" header="0.3" footer="0.3"/>
  <pageSetup paperSize="9"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47625</xdr:colOff>
                    <xdr:row>25</xdr:row>
                    <xdr:rowOff>57150</xdr:rowOff>
                  </from>
                  <to>
                    <xdr:col>5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47625</xdr:colOff>
                    <xdr:row>27</xdr:row>
                    <xdr:rowOff>57150</xdr:rowOff>
                  </from>
                  <to>
                    <xdr:col>5</xdr:col>
                    <xdr:colOff>9525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47625</xdr:colOff>
                    <xdr:row>29</xdr:row>
                    <xdr:rowOff>57150</xdr:rowOff>
                  </from>
                  <to>
                    <xdr:col>5</xdr:col>
                    <xdr:colOff>9525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3</xdr:col>
                    <xdr:colOff>47625</xdr:colOff>
                    <xdr:row>31</xdr:row>
                    <xdr:rowOff>57150</xdr:rowOff>
                  </from>
                  <to>
                    <xdr:col>5</xdr:col>
                    <xdr:colOff>9525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3</xdr:col>
                    <xdr:colOff>47625</xdr:colOff>
                    <xdr:row>33</xdr:row>
                    <xdr:rowOff>57150</xdr:rowOff>
                  </from>
                  <to>
                    <xdr:col>5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3</xdr:col>
                    <xdr:colOff>47625</xdr:colOff>
                    <xdr:row>35</xdr:row>
                    <xdr:rowOff>57150</xdr:rowOff>
                  </from>
                  <to>
                    <xdr:col>5</xdr:col>
                    <xdr:colOff>9525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3</xdr:col>
                    <xdr:colOff>47625</xdr:colOff>
                    <xdr:row>37</xdr:row>
                    <xdr:rowOff>57150</xdr:rowOff>
                  </from>
                  <to>
                    <xdr:col>5</xdr:col>
                    <xdr:colOff>9525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3</xdr:col>
                    <xdr:colOff>47625</xdr:colOff>
                    <xdr:row>39</xdr:row>
                    <xdr:rowOff>57150</xdr:rowOff>
                  </from>
                  <to>
                    <xdr:col>5</xdr:col>
                    <xdr:colOff>9525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 moveWithCells="1">
                  <from>
                    <xdr:col>3</xdr:col>
                    <xdr:colOff>47625</xdr:colOff>
                    <xdr:row>41</xdr:row>
                    <xdr:rowOff>57150</xdr:rowOff>
                  </from>
                  <to>
                    <xdr:col>5</xdr:col>
                    <xdr:colOff>9525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 moveWithCells="1">
                  <from>
                    <xdr:col>3</xdr:col>
                    <xdr:colOff>47625</xdr:colOff>
                    <xdr:row>43</xdr:row>
                    <xdr:rowOff>57150</xdr:rowOff>
                  </from>
                  <to>
                    <xdr:col>5</xdr:col>
                    <xdr:colOff>9525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 moveWithCells="1">
                  <from>
                    <xdr:col>3</xdr:col>
                    <xdr:colOff>47625</xdr:colOff>
                    <xdr:row>45</xdr:row>
                    <xdr:rowOff>57150</xdr:rowOff>
                  </from>
                  <to>
                    <xdr:col>5</xdr:col>
                    <xdr:colOff>9525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 moveWithCells="1">
                  <from>
                    <xdr:col>3</xdr:col>
                    <xdr:colOff>47625</xdr:colOff>
                    <xdr:row>47</xdr:row>
                    <xdr:rowOff>57150</xdr:rowOff>
                  </from>
                  <to>
                    <xdr:col>5</xdr:col>
                    <xdr:colOff>9525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Drop Down 13">
              <controlPr defaultSize="0" autoLine="0" autoPict="0">
                <anchor moveWithCells="1">
                  <from>
                    <xdr:col>3</xdr:col>
                    <xdr:colOff>47625</xdr:colOff>
                    <xdr:row>49</xdr:row>
                    <xdr:rowOff>57150</xdr:rowOff>
                  </from>
                  <to>
                    <xdr:col>5</xdr:col>
                    <xdr:colOff>9525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Drop Down 14">
              <controlPr defaultSize="0" autoLine="0" autoPict="0">
                <anchor moveWithCells="1">
                  <from>
                    <xdr:col>3</xdr:col>
                    <xdr:colOff>47625</xdr:colOff>
                    <xdr:row>51</xdr:row>
                    <xdr:rowOff>57150</xdr:rowOff>
                  </from>
                  <to>
                    <xdr:col>5</xdr:col>
                    <xdr:colOff>9525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Drop Down 15">
              <controlPr defaultSize="0" autoLine="0" autoPict="0">
                <anchor moveWithCells="1">
                  <from>
                    <xdr:col>3</xdr:col>
                    <xdr:colOff>47625</xdr:colOff>
                    <xdr:row>53</xdr:row>
                    <xdr:rowOff>57150</xdr:rowOff>
                  </from>
                  <to>
                    <xdr:col>5</xdr:col>
                    <xdr:colOff>9525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Drop Down 16">
              <controlPr defaultSize="0" autoLine="0" autoPict="0">
                <anchor moveWithCells="1">
                  <from>
                    <xdr:col>3</xdr:col>
                    <xdr:colOff>47625</xdr:colOff>
                    <xdr:row>55</xdr:row>
                    <xdr:rowOff>57150</xdr:rowOff>
                  </from>
                  <to>
                    <xdr:col>5</xdr:col>
                    <xdr:colOff>9525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Drop Down 17">
              <controlPr defaultSize="0" autoLine="0" autoPict="0">
                <anchor moveWithCells="1">
                  <from>
                    <xdr:col>3</xdr:col>
                    <xdr:colOff>47625</xdr:colOff>
                    <xdr:row>57</xdr:row>
                    <xdr:rowOff>57150</xdr:rowOff>
                  </from>
                  <to>
                    <xdr:col>5</xdr:col>
                    <xdr:colOff>9525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Drop Down 18">
              <controlPr defaultSize="0" autoLine="0" autoPict="0">
                <anchor moveWithCells="1">
                  <from>
                    <xdr:col>3</xdr:col>
                    <xdr:colOff>47625</xdr:colOff>
                    <xdr:row>59</xdr:row>
                    <xdr:rowOff>57150</xdr:rowOff>
                  </from>
                  <to>
                    <xdr:col>5</xdr:col>
                    <xdr:colOff>9525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Drop Down 19">
              <controlPr defaultSize="0" autoLine="0" autoPict="0">
                <anchor moveWithCells="1">
                  <from>
                    <xdr:col>3</xdr:col>
                    <xdr:colOff>47625</xdr:colOff>
                    <xdr:row>61</xdr:row>
                    <xdr:rowOff>57150</xdr:rowOff>
                  </from>
                  <to>
                    <xdr:col>5</xdr:col>
                    <xdr:colOff>9525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Drop Down 20">
              <controlPr defaultSize="0" autoLine="0" autoPict="0">
                <anchor moveWithCells="1">
                  <from>
                    <xdr:col>3</xdr:col>
                    <xdr:colOff>47625</xdr:colOff>
                    <xdr:row>63</xdr:row>
                    <xdr:rowOff>57150</xdr:rowOff>
                  </from>
                  <to>
                    <xdr:col>5</xdr:col>
                    <xdr:colOff>9525</xdr:colOff>
                    <xdr:row>64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04.02.20 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2022-02-17T12:56:58Z</cp:lastPrinted>
  <dcterms:created xsi:type="dcterms:W3CDTF">2021-04-20T08:31:45Z</dcterms:created>
  <dcterms:modified xsi:type="dcterms:W3CDTF">2022-03-14T06:47:50Z</dcterms:modified>
</cp:coreProperties>
</file>