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1600" windowHeight="9465" activeTab="0"/>
  </bookViews>
  <sheets>
    <sheet name="Расчет" sheetId="1" r:id="rId1"/>
    <sheet name="Инструкция" sheetId="2" r:id="rId2"/>
  </sheets>
  <definedNames/>
  <calcPr fullCalcOnLoad="1"/>
</workbook>
</file>

<file path=xl/sharedStrings.xml><?xml version="1.0" encoding="utf-8"?>
<sst xmlns="http://schemas.openxmlformats.org/spreadsheetml/2006/main" count="86" uniqueCount="66">
  <si>
    <t>Исполнитель</t>
  </si>
  <si>
    <t>Дата:</t>
  </si>
  <si>
    <t>№ партии</t>
  </si>
  <si>
    <t>Раздел I: Градуировочный график</t>
  </si>
  <si>
    <t>К.В.</t>
  </si>
  <si>
    <r>
      <t>lgC</t>
    </r>
    <r>
      <rPr>
        <b/>
        <vertAlign val="subscript"/>
        <sz val="10"/>
        <rFont val="Arial"/>
        <family val="2"/>
      </rPr>
      <t>i</t>
    </r>
  </si>
  <si>
    <r>
      <t>С</t>
    </r>
    <r>
      <rPr>
        <b/>
        <vertAlign val="subscript"/>
        <sz val="10"/>
        <rFont val="Arial"/>
        <family val="2"/>
      </rPr>
      <t>0</t>
    </r>
  </si>
  <si>
    <r>
      <t>С</t>
    </r>
    <r>
      <rPr>
        <b/>
        <vertAlign val="subscript"/>
        <sz val="10"/>
        <rFont val="Arial"/>
        <family val="2"/>
      </rPr>
      <t>1</t>
    </r>
  </si>
  <si>
    <r>
      <t>С</t>
    </r>
    <r>
      <rPr>
        <b/>
        <vertAlign val="subscript"/>
        <sz val="10"/>
        <rFont val="Arial"/>
        <family val="2"/>
      </rPr>
      <t>2</t>
    </r>
  </si>
  <si>
    <r>
      <t>С</t>
    </r>
    <r>
      <rPr>
        <b/>
        <vertAlign val="subscript"/>
        <sz val="10"/>
        <rFont val="Arial"/>
        <family val="2"/>
      </rPr>
      <t>3</t>
    </r>
  </si>
  <si>
    <r>
      <t>Интерсепт 50% (IC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>)=</t>
    </r>
  </si>
  <si>
    <t>№</t>
  </si>
  <si>
    <t>Наименование образца</t>
  </si>
  <si>
    <t>Фактор разведения</t>
  </si>
  <si>
    <r>
      <t>Оптическая плотность B</t>
    </r>
    <r>
      <rPr>
        <b/>
        <vertAlign val="subscript"/>
        <sz val="10"/>
        <rFont val="Arial"/>
        <family val="2"/>
      </rPr>
      <t>p</t>
    </r>
  </si>
  <si>
    <t>Примечания</t>
  </si>
  <si>
    <t>Градуировочный раствор</t>
  </si>
  <si>
    <r>
      <t>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</si>
  <si>
    <r>
      <t xml:space="preserve">log </t>
    </r>
    <r>
      <rPr>
        <b/>
        <i/>
        <sz val="10"/>
        <rFont val="Arial"/>
        <family val="2"/>
      </rPr>
      <t>it</t>
    </r>
    <r>
      <rPr>
        <b/>
        <sz val="10"/>
        <rFont val="Arial"/>
        <family val="2"/>
      </rPr>
      <t xml:space="preserve"> (B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</si>
  <si>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R =</t>
  </si>
  <si>
    <r>
      <t xml:space="preserve">log </t>
    </r>
    <r>
      <rPr>
        <b/>
        <i/>
        <sz val="10"/>
        <rFont val="Arial"/>
        <family val="2"/>
      </rPr>
      <t>it</t>
    </r>
    <r>
      <rPr>
        <b/>
        <sz val="10"/>
        <rFont val="Arial"/>
        <family val="2"/>
      </rPr>
      <t xml:space="preserve"> (B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/B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</si>
  <si>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мкг/кг</t>
  </si>
  <si>
    <r>
      <t>С</t>
    </r>
    <r>
      <rPr>
        <b/>
        <vertAlign val="subscript"/>
        <sz val="10"/>
        <rFont val="Arial"/>
        <family val="2"/>
      </rPr>
      <t>4</t>
    </r>
  </si>
  <si>
    <r>
      <t>Оптическая плотность B</t>
    </r>
    <r>
      <rPr>
        <b/>
        <vertAlign val="subscript"/>
        <sz val="10"/>
        <rFont val="Arial"/>
        <family val="2"/>
      </rPr>
      <t>i</t>
    </r>
  </si>
  <si>
    <r>
      <t>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, мкг/кг</t>
    </r>
  </si>
  <si>
    <t>Группа продуктов</t>
  </si>
  <si>
    <t>Продукт</t>
  </si>
  <si>
    <t>Предел повтряемости r, %</t>
  </si>
  <si>
    <t>Относительная расширенная неопределенность U, %</t>
  </si>
  <si>
    <t>зерно</t>
  </si>
  <si>
    <t>мукомольно-крупяные изделия</t>
  </si>
  <si>
    <t>хлебобулочные изделия</t>
  </si>
  <si>
    <t>макаронные изделия</t>
  </si>
  <si>
    <t>корма</t>
  </si>
  <si>
    <t>продукты масложировой промышленности</t>
  </si>
  <si>
    <r>
      <rPr>
        <b/>
        <u val="single"/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</t>
    </r>
    <r>
      <rPr>
        <b/>
        <sz val="10"/>
        <color indexed="9"/>
        <rFont val="Arial"/>
        <family val="2"/>
      </rPr>
      <t>.</t>
    </r>
    <r>
      <rPr>
        <b/>
        <sz val="10"/>
        <rFont val="Arial"/>
        <family val="2"/>
      </rPr>
      <t xml:space="preserve">
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±Uабс, мкг/кг</t>
    </r>
  </si>
  <si>
    <r>
      <t>С</t>
    </r>
    <r>
      <rPr>
        <b/>
        <vertAlign val="subscript"/>
        <sz val="10"/>
        <rFont val="Arial"/>
        <family val="2"/>
      </rPr>
      <t>5</t>
    </r>
  </si>
  <si>
    <t>Раздел II: Расчет массовой доли охратоксина А</t>
  </si>
  <si>
    <t>масличные культуры</t>
  </si>
  <si>
    <t>зернобобовые культуры</t>
  </si>
  <si>
    <t>корм.продукция пивоваренной промышленности</t>
  </si>
  <si>
    <t>корм.продукция крахмалопаточной промышленности</t>
  </si>
  <si>
    <t>корм.продукция спиртового производства</t>
  </si>
  <si>
    <t>Оценка прием-
лемости в условиях повторяемости</t>
  </si>
  <si>
    <t>Инструкция по обработке результатов</t>
  </si>
  <si>
    <t>1) Назначение</t>
  </si>
  <si>
    <t>2) Минимальные системные требования</t>
  </si>
  <si>
    <t>Наличие на персональном компьютере установленной программы Microsoft Excel пакета Microsoft Office.</t>
  </si>
  <si>
    <t>3) Инсталляция шаблона</t>
  </si>
  <si>
    <t>4) Измерение оптической плотности в лунках</t>
  </si>
  <si>
    <t>Значения оптической плотности в каждой лунке измеряют на микропланшетном фотометре при длине волны 450 нм в соответствии с руководством по эксплуатации прибора.</t>
  </si>
  <si>
    <t>5) Обработка результатов иммуноферментного анализа</t>
  </si>
  <si>
    <t>6. Результаты, которые можно использовать для самопроверки</t>
  </si>
  <si>
    <t>7. Сохранение результатов и вывод на печать</t>
  </si>
  <si>
    <t>Обработанные с помощью шаблона результаты можно сохранить, выбрав в меню «Файл» команду «Сохранить». Вывод результатов на печать производится после выбора команды «Печать» в пункте меню «Файл».</t>
  </si>
  <si>
    <t>Шаблон, созданный в программе Microsoft Excel, предназначен для обработки результатов определения охратоксина А в зерне, зернобобовых, масличных культурах и продуктах их переработки  методом иммуноферментного анализа с использованием тест-системы ПРОДОСКРИН® ИФА-Охратоксин-А. Программа Microsoft Excel автоматически обрабатывает данные, введенные вручную в шаблон.</t>
  </si>
  <si>
    <t>На персональном компьютере создать папку для хранения результатов, в которую скопировать шаблон ИФА-Охратоксин А.xls.</t>
  </si>
  <si>
    <t>Открыть документ ИФА-Охратоксин А.xls и сохранить его в папке для хранения результатов под именем, включающем дату проведения анализа.
Строки напротив ячеек «Исполнитель» и «Дата» заполнить соответствующим образом. Напротив ячейки «№ партии» написать номер партии использованной тест-системы, указанный в паспорте и на коробке тест-системы. В пустой строке допускается внесение примечаний, относящихся к постановке эксперимента.</t>
  </si>
  <si>
    <t>1) Сравнить значения концентраций стандартов в таблице с указанными в паспорте используемой тест-системы. 
2) Под строкой «Оптическая плотность Bi» внести в ячейки таблицы значения оптической плотности, полученные в лунках с соответствующими градуировочными растворами. Напротив каждого градуировочного раствора должно быть указано два значения оптической плотности.
3) Остальные ячейки таблицы заполняются автоматически. Программа рассчитывает значения К.В., Bi/B0 и интерсепт 50 % (IC50).
К.В. – коэффициент вариации между параллельными результатами измерений одного образца, %.
Bi/B0 – доля оптической плотности в лунках с градуировочными растворами С0-С5 относительно лунок с градуировочным раствором С0 с концентрацией охратоксина 0,0 мкг/кг, %.
Интерсепт 50 % (IC50) – концентрация охратоксина, соответствующая половине максимальной оптической плотности в лунках (В0), выражена в мкг/кг.
4) Программа Excel с применением шаблона автоматически строит градуировочную зависимость Bi/B0, % от концентрации  охратоксина.</t>
  </si>
  <si>
    <t>1) В строки столбца «Наименование образца» ввести наименование исследуемого образца. В столбце «Группа продуктов» из выпадающего списка выбрать группу продуктов, к которой относится исследуемый образец. В строки столбца «Оптическая плотность Bр» вести значения оптической плотности, полученные в лунках с анализируемыми пробами. 
2) Остальные ячейки таблицы заполняются автоматически. Программа рассчитывает величину Bр/B0, % и К.В., % для исследуемого образца, с использованием градуировочного графика вычисляет массовую долю охратоксина в параллельных пробах образца Cx  мкг/кг.   За результат измерений принимают среднее арифметическое двух измерений, выполненных в условиях повторяемости для исследуемого образца. Оценка приемлемости результатов измерений, полученных в условиях повторяемости, и расчет расширенной неопределенности проводится в соответствии с МВИ.МН 6102-2018.</t>
  </si>
  <si>
    <t>Должно выполняться соотношение В0 &gt; В1 &gt; В2 &gt; В3 &gt; В4 &gt; В5 , в котором 
В0-В5 – средние значения оптической плотности в лунках, содержащих градуировочные растворы С0-С5 с увеличивающейся концентрацией охратоксина А.
Параметры ИФА для градуировочных растворов – связывание конъюгата охратоксина А с пероксидазой: B0 – от 1,6 до 2,3 о.е; В1/В0 – не более 95 %, В5/В0 – не более 35 %.
Диапазон измерений составляет от 5,0 до 375,0 мкг/кг.
Извлечение (открытие) добавки охратоксина А в холостом образце продукта – не менее 75 %.
Повторяемость (коэффициент вариации) результатов определения охратоксина А в контрольных пробах различных видов продуктов в одной постановке ИФА не превышает 15 %.</t>
  </si>
  <si>
    <r>
      <t xml:space="preserve">Определение охратоксина А                                                                                                                                           Тест-система ПРОДОСКРИН® ИФА-ОХРАТОКСИН А (5,0 - 375,0 мкг/кг)
</t>
    </r>
    <r>
      <rPr>
        <b/>
        <i/>
        <sz val="12"/>
        <rFont val="Arial"/>
        <family val="2"/>
      </rPr>
      <t>в соответствии с МВИ.МН 6102-2018</t>
    </r>
  </si>
  <si>
    <t>Раздел II: Расчет массовой доли охратоксина А в пробах</t>
  </si>
  <si>
    <r>
      <rPr>
        <b/>
        <sz val="11"/>
        <color indexed="8"/>
        <rFont val="Arial"/>
        <family val="2"/>
      </rPr>
      <t>Техническая поддержка: 
+375 (17) 336-50-54
+7 (499) 490-66-35
support@komprod.com</t>
    </r>
    <r>
      <rPr>
        <sz val="11"/>
        <color indexed="8"/>
        <rFont val="Arial"/>
        <family val="2"/>
      </rPr>
      <t xml:space="preserve">
</t>
    </r>
  </si>
  <si>
    <t>зерно 0</t>
  </si>
  <si>
    <t>трилоджи 5,8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</si>
</sst>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%"/>
    <numFmt numFmtId="182" formatCode="0.0000"/>
    <numFmt numFmtId="183" formatCode="0.0"/>
    <numFmt numFmtId="184" formatCode="#,##0.0"/>
    <numFmt numFmtId="185" formatCode="\±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47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1"/>
      <color theme="9" tint="0.799979984760284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80" fontId="5" fillId="7" borderId="10" xfId="52" applyNumberFormat="1" applyFont="1" applyFill="1" applyBorder="1" applyAlignment="1" applyProtection="1">
      <alignment horizontal="center"/>
      <protection hidden="1" locked="0"/>
    </xf>
    <xf numFmtId="2" fontId="53" fillId="7" borderId="11" xfId="0" applyNumberFormat="1" applyFont="1" applyFill="1" applyBorder="1" applyAlignment="1" applyProtection="1">
      <alignment horizontal="center" wrapText="1"/>
      <protection hidden="1" locked="0"/>
    </xf>
    <xf numFmtId="2" fontId="53" fillId="7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 hidden="1"/>
    </xf>
    <xf numFmtId="0" fontId="53" fillId="33" borderId="0" xfId="0" applyFont="1" applyFill="1" applyAlignment="1" applyProtection="1">
      <alignment/>
      <protection hidden="1"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horizontal="right"/>
      <protection hidden="1"/>
    </xf>
    <xf numFmtId="0" fontId="53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5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0" fontId="3" fillId="33" borderId="13" xfId="0" applyFont="1" applyFill="1" applyBorder="1" applyAlignment="1" applyProtection="1">
      <alignment vertical="center"/>
      <protection hidden="1"/>
    </xf>
    <xf numFmtId="183" fontId="3" fillId="33" borderId="14" xfId="0" applyNumberFormat="1" applyFont="1" applyFill="1" applyBorder="1" applyAlignment="1" applyProtection="1">
      <alignment horizontal="right" vertical="center"/>
      <protection hidden="1"/>
    </xf>
    <xf numFmtId="180" fontId="3" fillId="33" borderId="15" xfId="0" applyNumberFormat="1" applyFont="1" applyFill="1" applyBorder="1" applyAlignment="1" applyProtection="1">
      <alignment horizontal="left" vertical="center"/>
      <protection hidden="1"/>
    </xf>
    <xf numFmtId="180" fontId="53" fillId="33" borderId="11" xfId="0" applyNumberFormat="1" applyFont="1" applyFill="1" applyBorder="1" applyAlignment="1" applyProtection="1">
      <alignment horizontal="center" vertical="center"/>
      <protection hidden="1" locked="0"/>
    </xf>
    <xf numFmtId="180" fontId="53" fillId="33" borderId="10" xfId="0" applyNumberFormat="1" applyFont="1" applyFill="1" applyBorder="1" applyAlignment="1" applyProtection="1">
      <alignment horizontal="center" vertical="center"/>
      <protection hidden="1" locked="0"/>
    </xf>
    <xf numFmtId="181" fontId="53" fillId="33" borderId="10" xfId="0" applyNumberFormat="1" applyFont="1" applyFill="1" applyBorder="1" applyAlignment="1" applyProtection="1">
      <alignment horizontal="center" vertical="center"/>
      <protection hidden="1"/>
    </xf>
    <xf numFmtId="10" fontId="53" fillId="33" borderId="10" xfId="0" applyNumberFormat="1" applyFont="1" applyFill="1" applyBorder="1" applyAlignment="1" applyProtection="1">
      <alignment horizontal="center" vertical="center"/>
      <protection hidden="1"/>
    </xf>
    <xf numFmtId="2" fontId="53" fillId="33" borderId="10" xfId="0" applyNumberFormat="1" applyFont="1" applyFill="1" applyBorder="1" applyAlignment="1" applyProtection="1">
      <alignment horizontal="center" vertical="center"/>
      <protection hidden="1"/>
    </xf>
    <xf numFmtId="0" fontId="53" fillId="33" borderId="10" xfId="0" applyFont="1" applyFill="1" applyBorder="1" applyAlignment="1" applyProtection="1">
      <alignment horizontal="center" vertical="center"/>
      <protection hidden="1"/>
    </xf>
    <xf numFmtId="2" fontId="53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183" fontId="3" fillId="33" borderId="17" xfId="0" applyNumberFormat="1" applyFont="1" applyFill="1" applyBorder="1" applyAlignment="1" applyProtection="1">
      <alignment horizontal="right" vertical="center"/>
      <protection hidden="1"/>
    </xf>
    <xf numFmtId="180" fontId="53" fillId="33" borderId="11" xfId="0" applyNumberFormat="1" applyFont="1" applyFill="1" applyBorder="1" applyAlignment="1" applyProtection="1">
      <alignment horizontal="center"/>
      <protection hidden="1" locked="0"/>
    </xf>
    <xf numFmtId="180" fontId="53" fillId="33" borderId="10" xfId="0" applyNumberFormat="1" applyFont="1" applyFill="1" applyBorder="1" applyAlignment="1" applyProtection="1">
      <alignment horizontal="center"/>
      <protection hidden="1" locked="0"/>
    </xf>
    <xf numFmtId="2" fontId="53" fillId="33" borderId="0" xfId="0" applyNumberFormat="1" applyFont="1" applyFill="1" applyBorder="1" applyAlignment="1" applyProtection="1">
      <alignment horizontal="center"/>
      <protection hidden="1"/>
    </xf>
    <xf numFmtId="180" fontId="3" fillId="33" borderId="11" xfId="0" applyNumberFormat="1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183" fontId="3" fillId="33" borderId="19" xfId="0" applyNumberFormat="1" applyFont="1" applyFill="1" applyBorder="1" applyAlignment="1" applyProtection="1">
      <alignment horizontal="right" vertical="center"/>
      <protection hidden="1"/>
    </xf>
    <xf numFmtId="180" fontId="3" fillId="33" borderId="20" xfId="0" applyNumberFormat="1" applyFont="1" applyFill="1" applyBorder="1" applyAlignment="1" applyProtection="1">
      <alignment horizontal="left" vertical="center"/>
      <protection hidden="1"/>
    </xf>
    <xf numFmtId="0" fontId="53" fillId="33" borderId="0" xfId="0" applyFont="1" applyFill="1" applyBorder="1" applyAlignment="1">
      <alignment/>
    </xf>
    <xf numFmtId="180" fontId="53" fillId="33" borderId="0" xfId="0" applyNumberFormat="1" applyFont="1" applyFill="1" applyBorder="1" applyAlignment="1" applyProtection="1">
      <alignment horizontal="center"/>
      <protection hidden="1"/>
    </xf>
    <xf numFmtId="180" fontId="3" fillId="33" borderId="0" xfId="0" applyNumberFormat="1" applyFont="1" applyFill="1" applyBorder="1" applyAlignment="1" applyProtection="1">
      <alignment horizontal="right" vertical="center"/>
      <protection hidden="1"/>
    </xf>
    <xf numFmtId="182" fontId="5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0" fontId="53" fillId="33" borderId="0" xfId="0" applyNumberFormat="1" applyFont="1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2" fontId="53" fillId="33" borderId="10" xfId="0" applyNumberFormat="1" applyFont="1" applyFill="1" applyBorder="1" applyAlignment="1" applyProtection="1">
      <alignment horizontal="center"/>
      <protection hidden="1"/>
    </xf>
    <xf numFmtId="2" fontId="53" fillId="33" borderId="16" xfId="0" applyNumberFormat="1" applyFont="1" applyFill="1" applyBorder="1" applyAlignment="1" applyProtection="1">
      <alignment horizontal="center"/>
      <protection hidden="1"/>
    </xf>
    <xf numFmtId="2" fontId="53" fillId="33" borderId="21" xfId="0" applyNumberFormat="1" applyFont="1" applyFill="1" applyBorder="1" applyAlignment="1" applyProtection="1">
      <alignment horizontal="center"/>
      <protection hidden="1"/>
    </xf>
    <xf numFmtId="2" fontId="53" fillId="33" borderId="22" xfId="0" applyNumberFormat="1" applyFont="1" applyFill="1" applyBorder="1" applyAlignment="1" applyProtection="1">
      <alignment horizontal="center"/>
      <protection hidden="1"/>
    </xf>
    <xf numFmtId="2" fontId="53" fillId="33" borderId="16" xfId="0" applyNumberFormat="1" applyFont="1" applyFill="1" applyBorder="1" applyAlignment="1" applyProtection="1">
      <alignment horizontal="center" vertical="center"/>
      <protection hidden="1"/>
    </xf>
    <xf numFmtId="183" fontId="53" fillId="33" borderId="21" xfId="0" applyNumberFormat="1" applyFont="1" applyFill="1" applyBorder="1" applyAlignment="1" applyProtection="1">
      <alignment horizontal="center"/>
      <protection hidden="1"/>
    </xf>
    <xf numFmtId="183" fontId="53" fillId="33" borderId="22" xfId="0" applyNumberFormat="1" applyFont="1" applyFill="1" applyBorder="1" applyAlignment="1" applyProtection="1">
      <alignment horizontal="center"/>
      <protection hidden="1"/>
    </xf>
    <xf numFmtId="2" fontId="53" fillId="33" borderId="23" xfId="0" applyNumberFormat="1" applyFont="1" applyFill="1" applyBorder="1" applyAlignment="1" applyProtection="1">
      <alignment horizontal="center" vertical="center"/>
      <protection hidden="1"/>
    </xf>
    <xf numFmtId="2" fontId="53" fillId="33" borderId="24" xfId="0" applyNumberFormat="1" applyFont="1" applyFill="1" applyBorder="1" applyAlignment="1" applyProtection="1">
      <alignment horizontal="center" vertical="center"/>
      <protection hidden="1"/>
    </xf>
    <xf numFmtId="0" fontId="53" fillId="7" borderId="10" xfId="0" applyFont="1" applyFill="1" applyBorder="1" applyAlignment="1" applyProtection="1">
      <alignment horizontal="center"/>
      <protection hidden="1"/>
    </xf>
    <xf numFmtId="180" fontId="53" fillId="7" borderId="10" xfId="0" applyNumberFormat="1" applyFont="1" applyFill="1" applyBorder="1" applyAlignment="1" applyProtection="1">
      <alignment horizontal="center"/>
      <protection hidden="1"/>
    </xf>
    <xf numFmtId="0" fontId="53" fillId="7" borderId="16" xfId="0" applyFont="1" applyFill="1" applyBorder="1" applyAlignment="1" applyProtection="1">
      <alignment horizontal="center"/>
      <protection hidden="1"/>
    </xf>
    <xf numFmtId="0" fontId="53" fillId="7" borderId="11" xfId="0" applyFont="1" applyFill="1" applyBorder="1" applyAlignment="1" applyProtection="1">
      <alignment horizontal="center"/>
      <protection hidden="1"/>
    </xf>
    <xf numFmtId="0" fontId="53" fillId="7" borderId="1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7" fillId="33" borderId="0" xfId="0" applyFont="1" applyFill="1" applyAlignment="1" applyProtection="1">
      <alignment horizontal="center" wrapText="1"/>
      <protection hidden="1"/>
    </xf>
    <xf numFmtId="0" fontId="53" fillId="33" borderId="23" xfId="0" applyFont="1" applyFill="1" applyBorder="1" applyAlignment="1" applyProtection="1">
      <alignment horizontal="center" vertical="center"/>
      <protection hidden="1"/>
    </xf>
    <xf numFmtId="0" fontId="53" fillId="33" borderId="24" xfId="0" applyFont="1" applyFill="1" applyBorder="1" applyAlignment="1" applyProtection="1">
      <alignment horizontal="center" vertical="center"/>
      <protection hidden="1"/>
    </xf>
    <xf numFmtId="0" fontId="53" fillId="7" borderId="13" xfId="0" applyFont="1" applyFill="1" applyBorder="1" applyAlignment="1" applyProtection="1">
      <alignment horizontal="left" vertical="center" wrapText="1"/>
      <protection hidden="1" locked="0"/>
    </xf>
    <xf numFmtId="0" fontId="53" fillId="7" borderId="15" xfId="0" applyFont="1" applyFill="1" applyBorder="1" applyAlignment="1" applyProtection="1">
      <alignment horizontal="left" vertical="center" wrapText="1"/>
      <protection hidden="1" locked="0"/>
    </xf>
    <xf numFmtId="0" fontId="53" fillId="7" borderId="18" xfId="0" applyFont="1" applyFill="1" applyBorder="1" applyAlignment="1" applyProtection="1">
      <alignment horizontal="left" vertical="center" wrapText="1"/>
      <protection hidden="1" locked="0"/>
    </xf>
    <xf numFmtId="0" fontId="53" fillId="7" borderId="20" xfId="0" applyFont="1" applyFill="1" applyBorder="1" applyAlignment="1" applyProtection="1">
      <alignment horizontal="left" vertical="center" wrapText="1"/>
      <protection hidden="1" locked="0"/>
    </xf>
    <xf numFmtId="0" fontId="53" fillId="7" borderId="23" xfId="0" applyFont="1" applyFill="1" applyBorder="1" applyAlignment="1" applyProtection="1">
      <alignment horizontal="center" vertical="center"/>
      <protection hidden="1" locked="0"/>
    </xf>
    <xf numFmtId="0" fontId="53" fillId="7" borderId="24" xfId="0" applyFont="1" applyFill="1" applyBorder="1" applyAlignment="1" applyProtection="1">
      <alignment horizontal="center" vertical="center"/>
      <protection hidden="1" locked="0"/>
    </xf>
    <xf numFmtId="10" fontId="5" fillId="33" borderId="23" xfId="0" applyNumberFormat="1" applyFont="1" applyFill="1" applyBorder="1" applyAlignment="1" applyProtection="1">
      <alignment horizontal="center" vertical="center"/>
      <protection hidden="1"/>
    </xf>
    <xf numFmtId="10" fontId="53" fillId="33" borderId="24" xfId="0" applyNumberFormat="1" applyFont="1" applyFill="1" applyBorder="1" applyAlignment="1" applyProtection="1">
      <alignment horizontal="center" vertical="center"/>
      <protection hidden="1"/>
    </xf>
    <xf numFmtId="183" fontId="53" fillId="33" borderId="28" xfId="0" applyNumberFormat="1" applyFont="1" applyFill="1" applyBorder="1" applyAlignment="1" applyProtection="1">
      <alignment horizontal="right" vertical="center"/>
      <protection hidden="1"/>
    </xf>
    <xf numFmtId="183" fontId="53" fillId="33" borderId="29" xfId="0" applyNumberFormat="1" applyFont="1" applyFill="1" applyBorder="1" applyAlignment="1" applyProtection="1">
      <alignment horizontal="right" vertical="center"/>
      <protection hidden="1"/>
    </xf>
    <xf numFmtId="2" fontId="53" fillId="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7" borderId="20" xfId="0" applyFont="1" applyFill="1" applyBorder="1" applyAlignment="1" applyProtection="1">
      <alignment horizontal="center" vertical="center" wrapText="1"/>
      <protection hidden="1" locked="0"/>
    </xf>
    <xf numFmtId="0" fontId="56" fillId="7" borderId="13" xfId="0" applyFont="1" applyFill="1" applyBorder="1" applyAlignment="1" applyProtection="1">
      <alignment horizontal="center" vertical="center" wrapText="1"/>
      <protection hidden="1" locked="0"/>
    </xf>
    <xf numFmtId="0" fontId="56" fillId="7" borderId="15" xfId="0" applyFont="1" applyFill="1" applyBorder="1" applyAlignment="1" applyProtection="1">
      <alignment horizontal="center" vertical="center" wrapText="1"/>
      <protection hidden="1" locked="0"/>
    </xf>
    <xf numFmtId="0" fontId="56" fillId="7" borderId="18" xfId="0" applyFont="1" applyFill="1" applyBorder="1" applyAlignment="1" applyProtection="1">
      <alignment horizontal="center" vertical="center" wrapText="1"/>
      <protection hidden="1" locked="0"/>
    </xf>
    <xf numFmtId="0" fontId="56" fillId="7" borderId="20" xfId="0" applyFont="1" applyFill="1" applyBorder="1" applyAlignment="1" applyProtection="1">
      <alignment horizontal="center" vertical="center" wrapText="1"/>
      <protection hidden="1" locked="0"/>
    </xf>
    <xf numFmtId="2" fontId="53" fillId="33" borderId="13" xfId="0" applyNumberFormat="1" applyFont="1" applyFill="1" applyBorder="1" applyAlignment="1" applyProtection="1">
      <alignment horizontal="center" vertical="center"/>
      <protection hidden="1"/>
    </xf>
    <xf numFmtId="2" fontId="53" fillId="33" borderId="18" xfId="0" applyNumberFormat="1" applyFont="1" applyFill="1" applyBorder="1" applyAlignment="1" applyProtection="1">
      <alignment horizontal="center" vertical="center"/>
      <protection hidden="1"/>
    </xf>
    <xf numFmtId="185" fontId="53" fillId="33" borderId="30" xfId="0" applyNumberFormat="1" applyFont="1" applyFill="1" applyBorder="1" applyAlignment="1" applyProtection="1">
      <alignment horizontal="left" vertical="center"/>
      <protection hidden="1"/>
    </xf>
    <xf numFmtId="185" fontId="53" fillId="33" borderId="31" xfId="0" applyNumberFormat="1" applyFont="1" applyFill="1" applyBorder="1" applyAlignment="1" applyProtection="1">
      <alignment horizontal="left" vertical="center"/>
      <protection hidden="1"/>
    </xf>
    <xf numFmtId="183" fontId="53" fillId="33" borderId="32" xfId="0" applyNumberFormat="1" applyFont="1" applyFill="1" applyBorder="1" applyAlignment="1" applyProtection="1">
      <alignment horizontal="right" vertical="center"/>
      <protection hidden="1"/>
    </xf>
    <xf numFmtId="185" fontId="53" fillId="33" borderId="33" xfId="0" applyNumberFormat="1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53" fillId="7" borderId="10" xfId="0" applyFont="1" applyFill="1" applyBorder="1" applyAlignment="1" applyProtection="1">
      <alignment/>
      <protection hidden="1"/>
    </xf>
    <xf numFmtId="0" fontId="53" fillId="7" borderId="16" xfId="0" applyFont="1" applyFill="1" applyBorder="1" applyAlignment="1" applyProtection="1">
      <alignment horizontal="center"/>
      <protection hidden="1"/>
    </xf>
    <xf numFmtId="0" fontId="53" fillId="7" borderId="11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0" fontId="53" fillId="33" borderId="10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49" fontId="57" fillId="7" borderId="16" xfId="0" applyNumberFormat="1" applyFont="1" applyFill="1" applyBorder="1" applyAlignment="1" applyProtection="1">
      <alignment horizontal="left"/>
      <protection hidden="1" locked="0"/>
    </xf>
    <xf numFmtId="49" fontId="57" fillId="7" borderId="17" xfId="0" applyNumberFormat="1" applyFont="1" applyFill="1" applyBorder="1" applyAlignment="1" applyProtection="1">
      <alignment horizontal="left"/>
      <protection hidden="1" locked="0"/>
    </xf>
    <xf numFmtId="49" fontId="53" fillId="7" borderId="17" xfId="0" applyNumberFormat="1" applyFont="1" applyFill="1" applyBorder="1" applyAlignment="1" applyProtection="1">
      <alignment horizontal="left"/>
      <protection hidden="1" locked="0"/>
    </xf>
    <xf numFmtId="49" fontId="53" fillId="7" borderId="11" xfId="0" applyNumberFormat="1" applyFont="1" applyFill="1" applyBorder="1" applyAlignment="1" applyProtection="1">
      <alignment horizontal="left"/>
      <protection hidden="1" locked="0"/>
    </xf>
    <xf numFmtId="49" fontId="57" fillId="33" borderId="16" xfId="0" applyNumberFormat="1" applyFont="1" applyFill="1" applyBorder="1" applyAlignment="1" applyProtection="1">
      <alignment horizontal="left"/>
      <protection hidden="1" locked="0"/>
    </xf>
    <xf numFmtId="49" fontId="57" fillId="33" borderId="17" xfId="0" applyNumberFormat="1" applyFont="1" applyFill="1" applyBorder="1" applyAlignment="1" applyProtection="1">
      <alignment horizontal="left"/>
      <protection hidden="1" locked="0"/>
    </xf>
    <xf numFmtId="49" fontId="53" fillId="33" borderId="17" xfId="0" applyNumberFormat="1" applyFont="1" applyFill="1" applyBorder="1" applyAlignment="1" applyProtection="1">
      <alignment horizontal="left"/>
      <protection hidden="1" locked="0"/>
    </xf>
    <xf numFmtId="49" fontId="53" fillId="33" borderId="11" xfId="0" applyNumberFormat="1" applyFont="1" applyFill="1" applyBorder="1" applyAlignment="1" applyProtection="1">
      <alignment horizontal="left"/>
      <protection hidden="1" locked="0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183" fontId="53" fillId="33" borderId="21" xfId="0" applyNumberFormat="1" applyFont="1" applyFill="1" applyBorder="1" applyAlignment="1" applyProtection="1">
      <alignment horizontal="center" vertical="center"/>
      <protection hidden="1"/>
    </xf>
    <xf numFmtId="183" fontId="53" fillId="33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34" xfId="0" applyFont="1" applyFill="1" applyBorder="1" applyAlignment="1" applyProtection="1">
      <alignment horizontal="center" vertical="top" wrapText="1"/>
      <protection hidden="1"/>
    </xf>
    <xf numFmtId="0" fontId="3" fillId="33" borderId="35" xfId="0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875"/>
          <c:w val="0.867"/>
          <c:h val="0.838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Расчет!$B$12:$B$16</c:f>
              <c:numCache/>
            </c:numRef>
          </c:xVal>
          <c:yVal>
            <c:numRef>
              <c:f>Расчет!$I$12:$I$16</c:f>
              <c:numCache/>
            </c:numRef>
          </c:yVal>
          <c:smooth val="0"/>
        </c:ser>
        <c:axId val="46673522"/>
        <c:axId val="17408515"/>
      </c:scatterChart>
      <c:valAx>
        <c:axId val="466735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Массовая доля охратоксина А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мкг/кг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crossBetween val="midCat"/>
        <c:dispUnits/>
      </c:val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Log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(B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i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/B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0.1"/>
        <c:crossBetween val="midCat"/>
        <c:dispUnits/>
        <c:maj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0</xdr:rowOff>
    </xdr:from>
    <xdr:to>
      <xdr:col>14</xdr:col>
      <xdr:colOff>1752600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686675" y="1676400"/>
        <a:ext cx="58197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609600</xdr:colOff>
      <xdr:row>0</xdr:row>
      <xdr:rowOff>685800</xdr:rowOff>
    </xdr:to>
    <xdr:pic>
      <xdr:nvPicPr>
        <xdr:cNvPr id="2" name="Рисунок 23" descr="Лого КП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257175</xdr:rowOff>
    </xdr:from>
    <xdr:to>
      <xdr:col>3</xdr:col>
      <xdr:colOff>838200</xdr:colOff>
      <xdr:row>0</xdr:row>
      <xdr:rowOff>542925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257175"/>
          <a:ext cx="2133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="90" zoomScaleNormal="90" zoomScalePageLayoutView="0" workbookViewId="0" topLeftCell="A12">
      <selection activeCell="J30" sqref="J30"/>
    </sheetView>
  </sheetViews>
  <sheetFormatPr defaultColWidth="9.140625" defaultRowHeight="15"/>
  <cols>
    <col min="1" max="1" width="3.421875" style="1" customWidth="1"/>
    <col min="2" max="2" width="11.421875" style="1" customWidth="1"/>
    <col min="3" max="3" width="16.421875" style="1" customWidth="1"/>
    <col min="4" max="10" width="13.57421875" style="1" customWidth="1"/>
    <col min="11" max="11" width="13.57421875" style="1" hidden="1" customWidth="1"/>
    <col min="12" max="12" width="22.8515625" style="1" customWidth="1"/>
    <col min="13" max="14" width="13.57421875" style="1" customWidth="1"/>
    <col min="15" max="15" width="28.57421875" style="1" customWidth="1"/>
    <col min="17" max="17" width="9.140625" style="0" customWidth="1"/>
    <col min="18" max="18" width="9.140625" style="0" hidden="1" customWidth="1"/>
    <col min="19" max="19" width="33.28125" style="0" hidden="1" customWidth="1"/>
    <col min="20" max="20" width="27.8515625" style="0" hidden="1" customWidth="1"/>
    <col min="21" max="21" width="48.8515625" style="0" hidden="1" customWidth="1"/>
    <col min="22" max="22" width="9.140625" style="0" customWidth="1"/>
  </cols>
  <sheetData>
    <row r="1" spans="1:18" ht="60.75" customHeight="1" thickBot="1">
      <c r="A1" s="69"/>
      <c r="B1" s="70"/>
      <c r="C1" s="70"/>
      <c r="D1" s="70"/>
      <c r="E1" s="71" t="s">
        <v>63</v>
      </c>
      <c r="F1" s="72"/>
      <c r="G1" s="72"/>
      <c r="H1" s="73"/>
      <c r="J1" s="18"/>
      <c r="K1" s="18"/>
      <c r="L1" s="18"/>
      <c r="M1" s="18"/>
      <c r="N1" s="18"/>
      <c r="O1" s="18"/>
      <c r="P1" s="18"/>
      <c r="Q1" s="18"/>
      <c r="R1" s="18"/>
    </row>
    <row r="2" spans="1:16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"/>
    </row>
    <row r="3" spans="1:22" ht="56.25" customHeight="1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9"/>
      <c r="K3" s="9"/>
      <c r="L3" s="9"/>
      <c r="M3" s="9"/>
      <c r="N3" s="9"/>
      <c r="O3" s="9"/>
      <c r="P3" s="10"/>
      <c r="Q3" s="10"/>
      <c r="V3" s="64"/>
    </row>
    <row r="4" spans="1:21" ht="15" customHeight="1">
      <c r="A4" s="9"/>
      <c r="B4" s="9"/>
      <c r="C4" s="11"/>
      <c r="D4" s="1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S4" s="2" t="s">
        <v>26</v>
      </c>
      <c r="T4" s="3" t="s">
        <v>27</v>
      </c>
      <c r="U4" s="3" t="s">
        <v>28</v>
      </c>
    </row>
    <row r="5" spans="1:18" ht="15">
      <c r="A5" s="103" t="s">
        <v>0</v>
      </c>
      <c r="B5" s="104"/>
      <c r="C5" s="109"/>
      <c r="D5" s="110"/>
      <c r="E5" s="110"/>
      <c r="F5" s="111"/>
      <c r="G5" s="111"/>
      <c r="H5" s="112"/>
      <c r="I5" s="12"/>
      <c r="J5" s="9"/>
      <c r="K5" s="9"/>
      <c r="L5" s="9"/>
      <c r="M5" s="9"/>
      <c r="N5" s="9"/>
      <c r="O5" s="9"/>
      <c r="P5" s="10"/>
      <c r="Q5" s="10"/>
      <c r="R5">
        <v>1</v>
      </c>
    </row>
    <row r="6" spans="1:21" ht="15">
      <c r="A6" s="103" t="s">
        <v>1</v>
      </c>
      <c r="B6" s="104"/>
      <c r="C6" s="109"/>
      <c r="D6" s="110"/>
      <c r="E6" s="110"/>
      <c r="F6" s="111"/>
      <c r="G6" s="111"/>
      <c r="H6" s="112"/>
      <c r="I6" s="12"/>
      <c r="J6" s="9"/>
      <c r="K6" s="9"/>
      <c r="L6" s="9"/>
      <c r="M6" s="9"/>
      <c r="N6" s="9"/>
      <c r="O6" s="9"/>
      <c r="P6" s="10"/>
      <c r="Q6" s="10"/>
      <c r="R6">
        <v>2</v>
      </c>
      <c r="S6" t="s">
        <v>29</v>
      </c>
      <c r="T6">
        <v>26.9</v>
      </c>
      <c r="U6">
        <v>18</v>
      </c>
    </row>
    <row r="7" spans="1:21" ht="15">
      <c r="A7" s="103" t="s">
        <v>2</v>
      </c>
      <c r="B7" s="104"/>
      <c r="C7" s="109"/>
      <c r="D7" s="110"/>
      <c r="E7" s="110"/>
      <c r="F7" s="111"/>
      <c r="G7" s="111"/>
      <c r="H7" s="112"/>
      <c r="I7" s="12"/>
      <c r="J7" s="9"/>
      <c r="K7" s="9"/>
      <c r="L7" s="9"/>
      <c r="M7" s="9"/>
      <c r="N7" s="9"/>
      <c r="O7" s="9"/>
      <c r="P7" s="10"/>
      <c r="Q7" s="10"/>
      <c r="R7">
        <v>3</v>
      </c>
      <c r="S7" t="s">
        <v>30</v>
      </c>
      <c r="T7">
        <v>26.9</v>
      </c>
      <c r="U7">
        <v>18</v>
      </c>
    </row>
    <row r="8" spans="1:21" ht="15">
      <c r="A8" s="105"/>
      <c r="B8" s="104"/>
      <c r="C8" s="113"/>
      <c r="D8" s="114"/>
      <c r="E8" s="114"/>
      <c r="F8" s="115"/>
      <c r="G8" s="115"/>
      <c r="H8" s="116"/>
      <c r="I8" s="12"/>
      <c r="J8" s="9"/>
      <c r="K8" s="9"/>
      <c r="L8" s="9"/>
      <c r="M8" s="9"/>
      <c r="N8" s="9"/>
      <c r="O8" s="9"/>
      <c r="P8" s="10"/>
      <c r="Q8" s="10"/>
      <c r="R8">
        <v>4</v>
      </c>
      <c r="S8" t="s">
        <v>31</v>
      </c>
      <c r="T8">
        <v>26.9</v>
      </c>
      <c r="U8">
        <v>18</v>
      </c>
    </row>
    <row r="9" spans="1:21" ht="15.75">
      <c r="A9" s="13" t="s">
        <v>3</v>
      </c>
      <c r="B9" s="14"/>
      <c r="C9" s="11"/>
      <c r="D9" s="11"/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10"/>
      <c r="Q9" s="10"/>
      <c r="R9">
        <v>5</v>
      </c>
      <c r="S9" t="s">
        <v>32</v>
      </c>
      <c r="T9">
        <v>26.9</v>
      </c>
      <c r="U9">
        <v>18</v>
      </c>
    </row>
    <row r="10" spans="1:21" ht="15">
      <c r="A10" s="117" t="s">
        <v>16</v>
      </c>
      <c r="B10" s="75"/>
      <c r="C10" s="75"/>
      <c r="D10" s="106" t="s">
        <v>23</v>
      </c>
      <c r="E10" s="107"/>
      <c r="F10" s="15" t="s">
        <v>17</v>
      </c>
      <c r="G10" s="15" t="s">
        <v>4</v>
      </c>
      <c r="H10" s="15" t="s">
        <v>5</v>
      </c>
      <c r="I10" s="15" t="s">
        <v>18</v>
      </c>
      <c r="J10" s="16"/>
      <c r="K10" s="17"/>
      <c r="L10" s="17"/>
      <c r="M10" s="18"/>
      <c r="N10" s="17"/>
      <c r="O10" s="12"/>
      <c r="P10" s="10"/>
      <c r="Q10" s="10"/>
      <c r="R10">
        <v>6</v>
      </c>
      <c r="S10" s="7" t="s">
        <v>38</v>
      </c>
      <c r="T10">
        <v>34.8</v>
      </c>
      <c r="U10">
        <v>28</v>
      </c>
    </row>
    <row r="11" spans="1:21" ht="15">
      <c r="A11" s="19" t="s">
        <v>6</v>
      </c>
      <c r="B11" s="20">
        <v>0</v>
      </c>
      <c r="C11" s="21" t="s">
        <v>21</v>
      </c>
      <c r="D11" s="22">
        <v>1.414</v>
      </c>
      <c r="E11" s="23">
        <v>1.414</v>
      </c>
      <c r="F11" s="24">
        <f aca="true" t="shared" si="0" ref="F11:F16">(AVERAGE(D11:E11)/AVERAGE($D$11:$E$11))</f>
        <v>1</v>
      </c>
      <c r="G11" s="25" t="str">
        <f aca="true" t="shared" si="1" ref="G11:G16">IF(OR(D11="",E11=""),"",IF(D11=E11,"0,00%",STDEV(D11:E11)/AVERAGE(D11:E11)))</f>
        <v>0,00%</v>
      </c>
      <c r="H11" s="26"/>
      <c r="I11" s="27"/>
      <c r="J11" s="16"/>
      <c r="K11" s="28"/>
      <c r="L11" s="28"/>
      <c r="M11" s="18"/>
      <c r="N11" s="29"/>
      <c r="O11" s="12"/>
      <c r="P11" s="10"/>
      <c r="Q11" s="10"/>
      <c r="R11">
        <v>7</v>
      </c>
      <c r="S11" s="7" t="s">
        <v>34</v>
      </c>
      <c r="T11">
        <v>34.8</v>
      </c>
      <c r="U11">
        <v>28</v>
      </c>
    </row>
    <row r="12" spans="1:21" ht="15">
      <c r="A12" s="30" t="s">
        <v>7</v>
      </c>
      <c r="B12" s="31">
        <v>5</v>
      </c>
      <c r="C12" s="21" t="s">
        <v>21</v>
      </c>
      <c r="D12" s="32">
        <v>1.14</v>
      </c>
      <c r="E12" s="33">
        <v>1.14</v>
      </c>
      <c r="F12" s="24">
        <f t="shared" si="0"/>
        <v>0.8062234794908062</v>
      </c>
      <c r="G12" s="25" t="str">
        <f t="shared" si="1"/>
        <v>0,00%</v>
      </c>
      <c r="H12" s="26">
        <f>LOG(B12)</f>
        <v>0.6989700043360189</v>
      </c>
      <c r="I12" s="26">
        <f>IF($E$16="","",LOG((F12/(1-F12))))</f>
        <v>0.6191542885160846</v>
      </c>
      <c r="J12" s="16"/>
      <c r="K12" s="28"/>
      <c r="L12" s="28"/>
      <c r="M12" s="18"/>
      <c r="N12" s="28"/>
      <c r="O12" s="34"/>
      <c r="P12" s="10"/>
      <c r="Q12" s="10"/>
      <c r="R12">
        <v>8</v>
      </c>
      <c r="S12" s="7" t="s">
        <v>39</v>
      </c>
      <c r="T12">
        <v>34.8</v>
      </c>
      <c r="U12">
        <v>28</v>
      </c>
    </row>
    <row r="13" spans="1:21" ht="15">
      <c r="A13" s="30" t="s">
        <v>8</v>
      </c>
      <c r="B13" s="31">
        <v>12.5</v>
      </c>
      <c r="C13" s="21" t="s">
        <v>21</v>
      </c>
      <c r="D13" s="22">
        <v>0.827</v>
      </c>
      <c r="E13" s="23">
        <v>0.82</v>
      </c>
      <c r="F13" s="24">
        <f t="shared" si="0"/>
        <v>0.5823903818953323</v>
      </c>
      <c r="G13" s="25">
        <f t="shared" si="1"/>
        <v>0.006010622305167987</v>
      </c>
      <c r="H13" s="26">
        <f>LOG(B13)</f>
        <v>1.0969100130080565</v>
      </c>
      <c r="I13" s="26">
        <f>IF($E$16="","",LOG((F13/(1-F13))))</f>
        <v>0.1444437015562394</v>
      </c>
      <c r="J13" s="16"/>
      <c r="K13" s="28"/>
      <c r="L13" s="28"/>
      <c r="M13" s="18"/>
      <c r="N13" s="28"/>
      <c r="O13" s="34"/>
      <c r="P13" s="10"/>
      <c r="Q13" s="10"/>
      <c r="R13">
        <v>9</v>
      </c>
      <c r="S13" s="7" t="s">
        <v>40</v>
      </c>
      <c r="T13">
        <v>34.8</v>
      </c>
      <c r="U13">
        <v>28</v>
      </c>
    </row>
    <row r="14" spans="1:21" ht="15">
      <c r="A14" s="30" t="s">
        <v>9</v>
      </c>
      <c r="B14" s="31">
        <v>37.5</v>
      </c>
      <c r="C14" s="35" t="s">
        <v>21</v>
      </c>
      <c r="D14" s="22">
        <v>0.394</v>
      </c>
      <c r="E14" s="23">
        <v>0.394</v>
      </c>
      <c r="F14" s="24">
        <f t="shared" si="0"/>
        <v>0.27864214992927866</v>
      </c>
      <c r="G14" s="25" t="str">
        <f t="shared" si="1"/>
        <v>0,00%</v>
      </c>
      <c r="H14" s="26">
        <f>LOG(B14)</f>
        <v>1.5740312677277188</v>
      </c>
      <c r="I14" s="26">
        <f>IF($E$16="","",LOG((F14/(1-F14))))</f>
        <v>-0.4131039499363434</v>
      </c>
      <c r="J14" s="16"/>
      <c r="K14" s="28"/>
      <c r="L14" s="28"/>
      <c r="M14" s="18"/>
      <c r="N14" s="28"/>
      <c r="O14" s="34"/>
      <c r="P14" s="10"/>
      <c r="Q14" s="10"/>
      <c r="R14">
        <v>10</v>
      </c>
      <c r="S14" s="7" t="s">
        <v>41</v>
      </c>
      <c r="T14">
        <v>34.8</v>
      </c>
      <c r="U14">
        <v>28</v>
      </c>
    </row>
    <row r="15" spans="1:21" ht="15">
      <c r="A15" s="36" t="s">
        <v>22</v>
      </c>
      <c r="B15" s="37">
        <v>125</v>
      </c>
      <c r="C15" s="38" t="s">
        <v>21</v>
      </c>
      <c r="D15" s="22">
        <v>0.164</v>
      </c>
      <c r="E15" s="23">
        <v>0.164</v>
      </c>
      <c r="F15" s="24">
        <f t="shared" si="0"/>
        <v>0.11598302687411599</v>
      </c>
      <c r="G15" s="25" t="str">
        <f t="shared" si="1"/>
        <v>0,00%</v>
      </c>
      <c r="H15" s="26">
        <f>LOG(B15)</f>
        <v>2.0969100130080562</v>
      </c>
      <c r="I15" s="26">
        <f>IF($E$16="","",LOG((F15/(1-F15))))</f>
        <v>-0.8820661649603585</v>
      </c>
      <c r="J15" s="16"/>
      <c r="K15" s="28"/>
      <c r="L15" s="28"/>
      <c r="M15" s="18"/>
      <c r="N15" s="28"/>
      <c r="O15" s="34"/>
      <c r="P15" s="10"/>
      <c r="Q15" s="10"/>
      <c r="R15">
        <v>11</v>
      </c>
      <c r="S15" s="7" t="s">
        <v>42</v>
      </c>
      <c r="T15">
        <v>34.8</v>
      </c>
      <c r="U15">
        <v>28</v>
      </c>
    </row>
    <row r="16" spans="1:21" ht="15">
      <c r="A16" s="36" t="s">
        <v>36</v>
      </c>
      <c r="B16" s="31">
        <v>375</v>
      </c>
      <c r="C16" s="38" t="s">
        <v>21</v>
      </c>
      <c r="D16" s="23">
        <v>0.076</v>
      </c>
      <c r="E16" s="23">
        <v>0.076</v>
      </c>
      <c r="F16" s="24">
        <f t="shared" si="0"/>
        <v>0.05374823196605375</v>
      </c>
      <c r="G16" s="25" t="str">
        <f t="shared" si="1"/>
        <v>0,00%</v>
      </c>
      <c r="H16" s="26">
        <f>LOG(B16)</f>
        <v>2.574031267727719</v>
      </c>
      <c r="I16" s="26">
        <f>IF($E$16="","",LOG((F16/(1-F16))))</f>
        <v>-1.245642521151013</v>
      </c>
      <c r="J16" s="39"/>
      <c r="K16" s="28"/>
      <c r="L16" s="28"/>
      <c r="M16" s="18"/>
      <c r="N16" s="28"/>
      <c r="O16" s="34"/>
      <c r="P16" s="10"/>
      <c r="Q16" s="10"/>
      <c r="R16">
        <v>12</v>
      </c>
      <c r="S16" s="7" t="s">
        <v>33</v>
      </c>
      <c r="T16">
        <v>34.8</v>
      </c>
      <c r="U16">
        <v>28</v>
      </c>
    </row>
    <row r="17" spans="1:17" ht="15">
      <c r="A17" s="9"/>
      <c r="B17" s="9"/>
      <c r="C17" s="9"/>
      <c r="D17" s="9"/>
      <c r="E17" s="9"/>
      <c r="F17" s="9"/>
      <c r="G17" s="40"/>
      <c r="H17" s="9"/>
      <c r="I17" s="9"/>
      <c r="J17" s="34"/>
      <c r="K17" s="34"/>
      <c r="L17" s="34"/>
      <c r="M17" s="9"/>
      <c r="N17" s="9"/>
      <c r="O17" s="34"/>
      <c r="P17" s="10"/>
      <c r="Q17" s="10"/>
    </row>
    <row r="18" spans="1:17" ht="15">
      <c r="A18" s="9"/>
      <c r="B18" s="9"/>
      <c r="C18" s="9"/>
      <c r="D18" s="9"/>
      <c r="E18" s="9"/>
      <c r="F18" s="9"/>
      <c r="G18" s="41" t="s">
        <v>19</v>
      </c>
      <c r="H18" s="42">
        <f>IF(E16="","",CORREL(I12:I16,H12:H16))</f>
        <v>-0.9955936076784019</v>
      </c>
      <c r="I18" s="12"/>
      <c r="J18" s="9"/>
      <c r="K18" s="9"/>
      <c r="L18" s="9"/>
      <c r="M18" s="9"/>
      <c r="N18" s="9"/>
      <c r="O18" s="9"/>
      <c r="P18" s="10"/>
      <c r="Q18" s="10"/>
    </row>
    <row r="19" spans="1:17" ht="15">
      <c r="A19" s="9"/>
      <c r="B19" s="9"/>
      <c r="C19" s="9"/>
      <c r="D19" s="9"/>
      <c r="E19" s="9"/>
      <c r="F19" s="9"/>
      <c r="G19" s="43" t="s">
        <v>10</v>
      </c>
      <c r="H19" s="28">
        <f>IF(E16="","",10^(-INTERCEPT(I12:I16,H12:H16)/SLOPE(I12:I16,H12:H16)))</f>
        <v>17.868547301372367</v>
      </c>
      <c r="I19" s="44" t="s">
        <v>21</v>
      </c>
      <c r="J19" s="9"/>
      <c r="K19" s="9"/>
      <c r="L19" s="9"/>
      <c r="M19" s="9"/>
      <c r="N19" s="9"/>
      <c r="O19" s="9"/>
      <c r="P19" s="10"/>
      <c r="Q19" s="10"/>
    </row>
    <row r="20" spans="1:17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5"/>
      <c r="P20" s="10"/>
      <c r="Q20" s="10"/>
    </row>
    <row r="21" spans="1:17" ht="16.5" thickBot="1">
      <c r="A21" s="8" t="s">
        <v>37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</row>
    <row r="22" spans="1:17" ht="40.5" customHeight="1">
      <c r="A22" s="15" t="s">
        <v>11</v>
      </c>
      <c r="B22" s="99" t="s">
        <v>12</v>
      </c>
      <c r="C22" s="99"/>
      <c r="D22" s="106" t="s">
        <v>25</v>
      </c>
      <c r="E22" s="108"/>
      <c r="F22" s="46" t="s">
        <v>13</v>
      </c>
      <c r="G22" s="46" t="s">
        <v>14</v>
      </c>
      <c r="H22" s="15" t="s">
        <v>20</v>
      </c>
      <c r="I22" s="46" t="s">
        <v>4</v>
      </c>
      <c r="J22" s="15" t="s">
        <v>24</v>
      </c>
      <c r="K22" s="15"/>
      <c r="L22" s="47" t="s">
        <v>43</v>
      </c>
      <c r="M22" s="120" t="s">
        <v>35</v>
      </c>
      <c r="N22" s="121"/>
      <c r="O22" s="48" t="s">
        <v>15</v>
      </c>
      <c r="P22" s="10"/>
      <c r="Q22" s="10"/>
    </row>
    <row r="23" spans="1:17" ht="15">
      <c r="A23" s="49" t="s">
        <v>6</v>
      </c>
      <c r="B23" s="100" t="s">
        <v>16</v>
      </c>
      <c r="C23" s="100"/>
      <c r="D23" s="101"/>
      <c r="E23" s="102"/>
      <c r="F23" s="59"/>
      <c r="G23" s="60">
        <f aca="true" t="shared" si="2" ref="G23:G28">AVERAGE(D11:E11)</f>
        <v>1.414</v>
      </c>
      <c r="H23" s="50"/>
      <c r="I23" s="50"/>
      <c r="J23" s="50"/>
      <c r="K23" s="50"/>
      <c r="L23" s="51"/>
      <c r="M23" s="52"/>
      <c r="N23" s="53"/>
      <c r="O23" s="5"/>
      <c r="P23" s="10"/>
      <c r="Q23" s="10"/>
    </row>
    <row r="24" spans="1:17" ht="15">
      <c r="A24" s="49" t="s">
        <v>7</v>
      </c>
      <c r="B24" s="100" t="s">
        <v>16</v>
      </c>
      <c r="C24" s="100"/>
      <c r="D24" s="101"/>
      <c r="E24" s="102"/>
      <c r="F24" s="59"/>
      <c r="G24" s="60">
        <f t="shared" si="2"/>
        <v>1.14</v>
      </c>
      <c r="H24" s="50">
        <f>IF(G24="","",LOG(((G24/G$23)/(1-(G24/G$23)))))</f>
        <v>0.6191542885160846</v>
      </c>
      <c r="I24" s="50"/>
      <c r="J24" s="26">
        <f>ROUND(10^((H24-INTERCEPT($I$12:$I$16,$H$12:$H$16))/SLOPE($I$12:$I$16,$H$12:$H$16)),2)</f>
        <v>4.28</v>
      </c>
      <c r="K24" s="26"/>
      <c r="L24" s="54"/>
      <c r="M24" s="118">
        <f>ROUND(J24,1)</f>
        <v>4.3</v>
      </c>
      <c r="N24" s="119"/>
      <c r="O24" s="6"/>
      <c r="P24" s="10"/>
      <c r="Q24" s="10"/>
    </row>
    <row r="25" spans="1:17" ht="15">
      <c r="A25" s="49" t="s">
        <v>8</v>
      </c>
      <c r="B25" s="100" t="s">
        <v>16</v>
      </c>
      <c r="C25" s="100"/>
      <c r="D25" s="101"/>
      <c r="E25" s="102"/>
      <c r="F25" s="59"/>
      <c r="G25" s="60">
        <f t="shared" si="2"/>
        <v>0.8234999999999999</v>
      </c>
      <c r="H25" s="50">
        <f>IF(G25="","",LOG(((G25/G$23)/(1-(G25/G$23)))))</f>
        <v>0.1444437015562394</v>
      </c>
      <c r="I25" s="50"/>
      <c r="J25" s="26">
        <f>ROUND(10^((H25-INTERCEPT($I$12:$I$16,$H$12:$H$16))/SLOPE($I$12:$I$16,$H$12:$H$16)),2)</f>
        <v>12.81</v>
      </c>
      <c r="K25" s="26"/>
      <c r="L25" s="54"/>
      <c r="M25" s="118">
        <f>ROUND(J25,1)</f>
        <v>12.8</v>
      </c>
      <c r="N25" s="119"/>
      <c r="O25" s="6"/>
      <c r="P25" s="10"/>
      <c r="Q25" s="10"/>
    </row>
    <row r="26" spans="1:17" ht="15">
      <c r="A26" s="49" t="s">
        <v>9</v>
      </c>
      <c r="B26" s="100" t="s">
        <v>16</v>
      </c>
      <c r="C26" s="100"/>
      <c r="D26" s="101"/>
      <c r="E26" s="102"/>
      <c r="F26" s="59"/>
      <c r="G26" s="60">
        <f t="shared" si="2"/>
        <v>0.394</v>
      </c>
      <c r="H26" s="50">
        <f>IF(G26="","",LOG(((G26/G$23)/(1-(G26/G$23)))))</f>
        <v>-0.4131039499363434</v>
      </c>
      <c r="I26" s="50"/>
      <c r="J26" s="26">
        <f>ROUND(10^((H26-INTERCEPT($I$12:$I$16,$H$12:$H$16))/SLOPE($I$12:$I$16,$H$12:$H$16)),2)</f>
        <v>46.34</v>
      </c>
      <c r="K26" s="26"/>
      <c r="L26" s="54"/>
      <c r="M26" s="118">
        <f>ROUND(J26,1)</f>
        <v>46.3</v>
      </c>
      <c r="N26" s="119"/>
      <c r="O26" s="6"/>
      <c r="P26" s="10"/>
      <c r="Q26" s="10"/>
    </row>
    <row r="27" spans="1:17" ht="15">
      <c r="A27" s="49" t="s">
        <v>22</v>
      </c>
      <c r="B27" s="100" t="s">
        <v>16</v>
      </c>
      <c r="C27" s="100"/>
      <c r="D27" s="101"/>
      <c r="E27" s="102"/>
      <c r="F27" s="59"/>
      <c r="G27" s="60">
        <f t="shared" si="2"/>
        <v>0.164</v>
      </c>
      <c r="H27" s="50">
        <f>IF(G27="","",LOG(((G27/G$23)/(1-(G27/G$23)))))</f>
        <v>-0.8820661649603585</v>
      </c>
      <c r="I27" s="50"/>
      <c r="J27" s="26">
        <f>ROUND(10^((H27-INTERCEPT($I$12:$I$16,$H$12:$H$16))/SLOPE($I$12:$I$16,$H$12:$H$16)),2)</f>
        <v>136.69</v>
      </c>
      <c r="K27" s="26"/>
      <c r="L27" s="54"/>
      <c r="M27" s="118">
        <f>ROUND(J27,1)</f>
        <v>136.7</v>
      </c>
      <c r="N27" s="119"/>
      <c r="O27" s="6"/>
      <c r="P27" s="10"/>
      <c r="Q27" s="10"/>
    </row>
    <row r="28" spans="1:17" ht="15">
      <c r="A28" s="49" t="s">
        <v>36</v>
      </c>
      <c r="B28" s="100" t="s">
        <v>16</v>
      </c>
      <c r="C28" s="100"/>
      <c r="D28" s="61"/>
      <c r="E28" s="62"/>
      <c r="F28" s="59"/>
      <c r="G28" s="60">
        <f t="shared" si="2"/>
        <v>0.076</v>
      </c>
      <c r="H28" s="50">
        <f>IF(G28="","",LOG(((G28/G$23)/(1-(G28/G$23)))))</f>
        <v>-1.245642521151013</v>
      </c>
      <c r="I28" s="50"/>
      <c r="J28" s="26">
        <f>ROUND(10^((H28-INTERCEPT($I$12:$I$16,$H$12:$H$16))/SLOPE($I$12:$I$16,$H$12:$H$16)),2)</f>
        <v>316.21</v>
      </c>
      <c r="K28" s="26"/>
      <c r="L28" s="54"/>
      <c r="M28" s="118">
        <f>ROUND(J28,1)</f>
        <v>316.2</v>
      </c>
      <c r="N28" s="119"/>
      <c r="O28" s="6"/>
      <c r="P28" s="10"/>
      <c r="Q28" s="10"/>
    </row>
    <row r="29" spans="1:17" ht="15">
      <c r="A29" s="49"/>
      <c r="B29" s="100"/>
      <c r="C29" s="100"/>
      <c r="D29" s="101"/>
      <c r="E29" s="102"/>
      <c r="F29" s="63"/>
      <c r="G29" s="59"/>
      <c r="H29" s="50"/>
      <c r="I29" s="50"/>
      <c r="J29" s="50"/>
      <c r="K29" s="50"/>
      <c r="L29" s="51"/>
      <c r="M29" s="55"/>
      <c r="N29" s="56"/>
      <c r="O29" s="5"/>
      <c r="P29" s="10"/>
      <c r="Q29" s="10"/>
    </row>
    <row r="30" spans="1:17" ht="15">
      <c r="A30" s="75">
        <v>1</v>
      </c>
      <c r="B30" s="77" t="s">
        <v>65</v>
      </c>
      <c r="C30" s="78"/>
      <c r="D30" s="89">
        <v>2</v>
      </c>
      <c r="E30" s="90"/>
      <c r="F30" s="81">
        <v>1</v>
      </c>
      <c r="G30" s="4">
        <v>1.105</v>
      </c>
      <c r="H30" s="50">
        <f>IF(G30="","",LOG(((G30/G$23)/(1-(G30/G$23)))))</f>
        <v>0.5534037985962951</v>
      </c>
      <c r="I30" s="83">
        <f>IF(OR(G31="",G30=""),"",STDEV(G30:G31)/AVERAGE(G30:G31))</f>
        <v>0.024742226229363565</v>
      </c>
      <c r="J30" s="26" t="str">
        <f>IF(G30="","",IF(10^((H30-INTERCEPT($I$12:$I$16,$H$12:$H$16))/SLOPE($I$12:$I$16,$H$12:$H$16))&gt;$B$16,"более "&amp;$B$16&amp;",0",IF(10^((H30-INTERCEPT($I$12:$I$16,$H$12:$H$16))/SLOPE($I$12:$I$16,$H$12:$H$16))&lt;$B$12,"менее "&amp;$B$12&amp;",0",ROUND(10^((H30-INTERCEPT($I$12:$I$16,$H$12:$H$16))/SLOPE($I$12:$I$16,$H$12:$H$16))*F30,2))))</f>
        <v>менее 5,0</v>
      </c>
      <c r="K30" s="57" t="e">
        <f>ABS(J30-J31)</f>
        <v>#VALUE!</v>
      </c>
      <c r="L30" s="93">
        <f>IF(M30="","",IF(M30="более "&amp;$B$16&amp;",0","",IF(M30="менее "&amp;$B$12&amp;",0","",IF(0.01*M30*K31&gt;K30,"приемлемо","неприемлемо"))))</f>
      </c>
      <c r="M30" s="85" t="str">
        <f>IF(OR(J30="",J31=""),"",IF(OR(J30="менее "&amp;$B$12&amp;",0",J31="менее "&amp;$B$12&amp;",0"),"менее "&amp;$B$12&amp;",0",IF(OR(J30="более "&amp;$B$16&amp;",0",J31="более "&amp;$B$16&amp;",0"),"более "&amp;$B$16&amp;",0",ROUND(AVERAGE(J30:J31),1))))</f>
        <v>менее 5,0</v>
      </c>
      <c r="N30" s="95">
        <f>IF(M30="","",IF(M30="более "&amp;$B$16&amp;",0","",IF(M30="менее "&amp;$B$12&amp;",0","",0.01*M30*VLOOKUP(D30,$R$6:$U$16,4,FALSE))))</f>
      </c>
      <c r="O30" s="87"/>
      <c r="P30" s="10"/>
      <c r="Q30" s="10"/>
    </row>
    <row r="31" spans="1:17" ht="15">
      <c r="A31" s="76"/>
      <c r="B31" s="79"/>
      <c r="C31" s="80"/>
      <c r="D31" s="91"/>
      <c r="E31" s="92"/>
      <c r="F31" s="82"/>
      <c r="G31" s="4">
        <v>1.067</v>
      </c>
      <c r="H31" s="50">
        <f>IF(G31="","",LOG(((G31/G$23)/(1-(G31/G$23)))))</f>
        <v>0.4878349446335962</v>
      </c>
      <c r="I31" s="84">
        <f aca="true" t="shared" si="3" ref="I31:I67">IF(G31=H31,"0,0%",STDEV(G31:H31)/AVERAGE(G31:H31))</f>
        <v>0.5267845818481707</v>
      </c>
      <c r="J31" s="26">
        <f>IF(G31="","",IF($G$24/G31&lt;1,"менее "&amp;$B$12&amp;",0",IF(10^((H31-INTERCEPT($I$12:$I$16,$H$12:$H$16))/SLOPE($I$12:$I$16,$H$12:$H$16))&gt;$B$16,"более "&amp;$B$16&amp;",0",IF(10^((H31-INTERCEPT($I$12:$I$16,$H$12:$H$16))/SLOPE($I$12:$I$16,$H$12:$H$16))&lt;$B$12,"менее "&amp;$B$12&amp;",0",ROUND(10^((H31-INTERCEPT($I$12:$I$16,$H$12:$H$16))/SLOPE($I$12:$I$16,$H$12:$H$16))*F30,2)))))</f>
        <v>5.8</v>
      </c>
      <c r="K31" s="58">
        <f>VLOOKUP(D30,$R$6:$U$16,3,FALSE)</f>
        <v>26.9</v>
      </c>
      <c r="L31" s="94"/>
      <c r="M31" s="86"/>
      <c r="N31" s="96"/>
      <c r="O31" s="88"/>
      <c r="P31" s="10"/>
      <c r="Q31" s="10"/>
    </row>
    <row r="32" spans="1:17" ht="15">
      <c r="A32" s="75">
        <v>2</v>
      </c>
      <c r="B32" s="77" t="s">
        <v>64</v>
      </c>
      <c r="C32" s="78"/>
      <c r="D32" s="89">
        <v>2</v>
      </c>
      <c r="E32" s="90"/>
      <c r="F32" s="81">
        <v>1</v>
      </c>
      <c r="G32" s="4">
        <v>1.446</v>
      </c>
      <c r="H32" s="50" t="e">
        <f>IF(G32="","",LOG(((G32/G$23)/(1-(G32/G$23)))))</f>
        <v>#NUM!</v>
      </c>
      <c r="I32" s="83">
        <f>IF(OR(G33="",G32=""),"",STDEV(G32:G33)/AVERAGE(G32:G33))</f>
        <v>0.04726649606861953</v>
      </c>
      <c r="J32" s="26" t="str">
        <f>IF(G32="","",IF($G$24/G32&lt;1,"менее "&amp;$B$12&amp;",0",IF(10^((H32-INTERCEPT($I$12:$I$16,$H$12:$H$16))/SLOPE($I$12:$I$16,$H$12:$H$16))&gt;$B$16,"более "&amp;$B$16&amp;",0",IF(10^((H32-INTERCEPT($I$12:$I$16,$H$12:$H$16))/SLOPE($I$12:$I$16,$H$12:$H$16))&lt;$B$12,"менее "&amp;$B$12&amp;",0",ROUND(10^((H32-INTERCEPT($I$12:$I$16,$H$12:$H$16))/SLOPE($I$12:$I$16,$H$12:$H$16))*F32,2)))))</f>
        <v>менее 5,0</v>
      </c>
      <c r="K32" s="57" t="e">
        <f>ABS(J32-J33)</f>
        <v>#VALUE!</v>
      </c>
      <c r="L32" s="93">
        <f>IF(M32="","",IF(M32="более "&amp;$B$16&amp;",0","",IF(M32="менее "&amp;$B$12&amp;",0","",IF(0.01*M32*K33&gt;K32,"приемлемо","неприемлемо"))))</f>
      </c>
      <c r="M32" s="85" t="str">
        <f>IF(OR(J32="",J33=""),"",IF(OR(J32="менее "&amp;$B$12&amp;",0",J33="менее "&amp;$B$12&amp;",0"),"менее "&amp;$B$12&amp;",0",IF(OR(J32="более "&amp;$B$16&amp;",0",J33="более "&amp;$B$16&amp;",0"),"более "&amp;$B$16&amp;",0",ROUND(AVERAGE(J32:J33),1))))</f>
        <v>менее 5,0</v>
      </c>
      <c r="N32" s="95">
        <f>IF(M32="","",IF(M32="более "&amp;$B$16&amp;",0","",IF(M32="менее "&amp;$B$12&amp;",0","",0.01*M32*VLOOKUP(D32,$R$6:$U$16,4,FALSE))))</f>
      </c>
      <c r="O32" s="87"/>
      <c r="P32" s="10"/>
      <c r="Q32" s="10"/>
    </row>
    <row r="33" spans="1:17" ht="15">
      <c r="A33" s="76"/>
      <c r="B33" s="79"/>
      <c r="C33" s="80"/>
      <c r="D33" s="91"/>
      <c r="E33" s="92"/>
      <c r="F33" s="82"/>
      <c r="G33" s="4">
        <v>1.546</v>
      </c>
      <c r="H33" s="50" t="e">
        <f aca="true" t="shared" si="4" ref="H33:H69">IF(G33="","",LOG(((G33/G$23)/(1-(G33/G$23)))))</f>
        <v>#NUM!</v>
      </c>
      <c r="I33" s="84" t="e">
        <f t="shared" si="3"/>
        <v>#NUM!</v>
      </c>
      <c r="J33" s="26" t="str">
        <f>IF(G33="","",IF($G$24/G33&lt;1,"менее "&amp;$B$12&amp;",0",IF(10^((H33-INTERCEPT($I$12:$I$16,$H$12:$H$16))/SLOPE($I$12:$I$16,$H$12:$H$16))&gt;$B$16,"более "&amp;$B$16&amp;",0",IF(10^((H33-INTERCEPT($I$12:$I$16,$H$12:$H$16))/SLOPE($I$12:$I$16,$H$12:$H$16))&lt;$B$12,"менее "&amp;$B$12&amp;",0",ROUND(10^((H33-INTERCEPT($I$12:$I$16,$H$12:$H$16))/SLOPE($I$12:$I$16,$H$12:$H$16))*F32,2)))))</f>
        <v>менее 5,0</v>
      </c>
      <c r="K33" s="58">
        <f>VLOOKUP(D32,$R$6:$U$16,3,FALSE)</f>
        <v>26.9</v>
      </c>
      <c r="L33" s="94"/>
      <c r="M33" s="86"/>
      <c r="N33" s="96"/>
      <c r="O33" s="88"/>
      <c r="P33" s="10"/>
      <c r="Q33" s="10"/>
    </row>
    <row r="34" spans="1:17" ht="15">
      <c r="A34" s="75">
        <v>3</v>
      </c>
      <c r="B34" s="77"/>
      <c r="C34" s="78"/>
      <c r="D34" s="89"/>
      <c r="E34" s="90"/>
      <c r="F34" s="81">
        <v>1</v>
      </c>
      <c r="G34" s="4"/>
      <c r="H34" s="50">
        <f t="shared" si="4"/>
      </c>
      <c r="I34" s="83">
        <f>IF(OR(G35="",G34=""),"",STDEV(G34:G35)/AVERAGE(G34:G35))</f>
      </c>
      <c r="J34" s="26">
        <f>IF(G34="","",IF($G$24/G34&lt;1,"менее "&amp;$B$12&amp;",0",IF(10^((H34-INTERCEPT($I$12:$I$16,$H$12:$H$16))/SLOPE($I$12:$I$16,$H$12:$H$16))&gt;$B$16,"более "&amp;$B$16&amp;",0",IF(10^((H34-INTERCEPT($I$12:$I$16,$H$12:$H$16))/SLOPE($I$12:$I$16,$H$12:$H$16))&lt;$B$12,"менее "&amp;$B$12&amp;",0",ROUND(10^((H34-INTERCEPT($I$12:$I$16,$H$12:$H$16))/SLOPE($I$12:$I$16,$H$12:$H$16))*F34,2)))))</f>
      </c>
      <c r="K34" s="57" t="e">
        <f>ABS(J34-J35)</f>
        <v>#VALUE!</v>
      </c>
      <c r="L34" s="93">
        <f>IF(M34="","",IF(M34="более "&amp;$B$16&amp;",0","",IF(M34="менее "&amp;$B$12&amp;",0","",IF(0.01*M34*K35&gt;K34,"приемлемо","неприемлемо"))))</f>
      </c>
      <c r="M34" s="85">
        <f>IF(OR(J34="",J35=""),"",IF(OR(J34="менее "&amp;$B$12&amp;",0",J35="менее "&amp;$B$12&amp;",0"),"менее "&amp;$B$12&amp;",0",IF(OR(J34="более "&amp;$B$16&amp;",0",J35="более "&amp;$B$16&amp;",0"),"более "&amp;$B$16&amp;",0",ROUND(AVERAGE(J34:J35),1))))</f>
      </c>
      <c r="N34" s="95">
        <f>IF(M34="","",IF(M34="более "&amp;$B$16&amp;",0","",IF(M34="менее "&amp;$B$12&amp;",0","",0.01*M34*VLOOKUP(D34,$R$6:$U$16,4,FALSE))))</f>
      </c>
      <c r="O34" s="87"/>
      <c r="P34" s="10"/>
      <c r="Q34" s="10"/>
    </row>
    <row r="35" spans="1:17" ht="15">
      <c r="A35" s="76"/>
      <c r="B35" s="79"/>
      <c r="C35" s="80"/>
      <c r="D35" s="91"/>
      <c r="E35" s="92"/>
      <c r="F35" s="82"/>
      <c r="G35" s="4"/>
      <c r="H35" s="50">
        <f t="shared" si="4"/>
      </c>
      <c r="I35" s="84" t="str">
        <f t="shared" si="3"/>
        <v>0,0%</v>
      </c>
      <c r="J35" s="26">
        <f>IF(G35="","",IF($G$24/G35&lt;1,"менее "&amp;$B$12&amp;",0",IF(10^((H35-INTERCEPT($I$12:$I$16,$H$12:$H$16))/SLOPE($I$12:$I$16,$H$12:$H$16))&gt;$B$16,"более "&amp;$B$16&amp;",0",IF(10^((H35-INTERCEPT($I$12:$I$16,$H$12:$H$16))/SLOPE($I$12:$I$16,$H$12:$H$16))&lt;$B$12,"менее "&amp;$B$12&amp;",0",ROUND(10^((H35-INTERCEPT($I$12:$I$16,$H$12:$H$16))/SLOPE($I$12:$I$16,$H$12:$H$16))*F34,2)))))</f>
      </c>
      <c r="K35" s="58" t="e">
        <f>VLOOKUP(D34,$R$6:$U$16,3,FALSE)</f>
        <v>#N/A</v>
      </c>
      <c r="L35" s="94"/>
      <c r="M35" s="86"/>
      <c r="N35" s="96"/>
      <c r="O35" s="88"/>
      <c r="P35" s="10"/>
      <c r="Q35" s="10"/>
    </row>
    <row r="36" spans="1:17" ht="15">
      <c r="A36" s="75">
        <v>4</v>
      </c>
      <c r="B36" s="77"/>
      <c r="C36" s="78"/>
      <c r="D36" s="89"/>
      <c r="E36" s="90"/>
      <c r="F36" s="81">
        <v>1</v>
      </c>
      <c r="G36" s="4"/>
      <c r="H36" s="50">
        <f t="shared" si="4"/>
      </c>
      <c r="I36" s="83">
        <f>IF(OR(G37="",G36=""),"",STDEV(G36:G37)/AVERAGE(G36:G37))</f>
      </c>
      <c r="J36" s="26">
        <f>IF(G36="","",IF($G$24/G36&lt;1,"менее "&amp;$B$12&amp;",0",IF(10^((H36-INTERCEPT($I$12:$I$16,$H$12:$H$16))/SLOPE($I$12:$I$16,$H$12:$H$16))&gt;$B$16,"более "&amp;$B$16&amp;",0",IF(10^((H36-INTERCEPT($I$12:$I$16,$H$12:$H$16))/SLOPE($I$12:$I$16,$H$12:$H$16))&lt;$B$12,"менее "&amp;$B$12&amp;",0",ROUND(10^((H36-INTERCEPT($I$12:$I$16,$H$12:$H$16))/SLOPE($I$12:$I$16,$H$12:$H$16))*F36,2)))))</f>
      </c>
      <c r="K36" s="57" t="e">
        <f>ABS(J36-J37)</f>
        <v>#VALUE!</v>
      </c>
      <c r="L36" s="93">
        <f>IF(M36="","",IF(M36="более "&amp;$B$16&amp;",0","",IF(M36="менее "&amp;$B$12&amp;",0","",IF(0.01*M36*K37&gt;K36,"приемлемо","неприемлемо"))))</f>
      </c>
      <c r="M36" s="85">
        <f>IF(OR(J36="",J37=""),"",IF(OR(J36="менее "&amp;$B$12&amp;",0",J37="менее "&amp;$B$12&amp;",0"),"менее "&amp;$B$12&amp;",0",IF(OR(J36="более "&amp;$B$16&amp;",0",J37="более "&amp;$B$16&amp;",0"),"более "&amp;$B$16&amp;",0",ROUND(AVERAGE(J36:J37),1))))</f>
      </c>
      <c r="N36" s="95">
        <f>IF(M36="","",IF(M36="более "&amp;$B$16&amp;",0","",IF(M36="менее "&amp;$B$12&amp;",0","",0.01*M36*VLOOKUP(D36,$R$6:$U$16,4,FALSE))))</f>
      </c>
      <c r="O36" s="87"/>
      <c r="P36" s="10"/>
      <c r="Q36" s="10"/>
    </row>
    <row r="37" spans="1:17" ht="15">
      <c r="A37" s="76"/>
      <c r="B37" s="79"/>
      <c r="C37" s="80"/>
      <c r="D37" s="91"/>
      <c r="E37" s="92"/>
      <c r="F37" s="82"/>
      <c r="G37" s="4"/>
      <c r="H37" s="50">
        <f t="shared" si="4"/>
      </c>
      <c r="I37" s="84" t="str">
        <f t="shared" si="3"/>
        <v>0,0%</v>
      </c>
      <c r="J37" s="26">
        <f>IF(G37="","",IF($G$24/G37&lt;1,"менее "&amp;$B$12&amp;",0",IF(10^((H37-INTERCEPT($I$12:$I$16,$H$12:$H$16))/SLOPE($I$12:$I$16,$H$12:$H$16))&gt;$B$16,"более "&amp;$B$16&amp;",0",IF(10^((H37-INTERCEPT($I$12:$I$16,$H$12:$H$16))/SLOPE($I$12:$I$16,$H$12:$H$16))&lt;$B$12,"менее "&amp;$B$12&amp;",0",ROUND(10^((H37-INTERCEPT($I$12:$I$16,$H$12:$H$16))/SLOPE($I$12:$I$16,$H$12:$H$16))*F36,2)))))</f>
      </c>
      <c r="K37" s="58" t="e">
        <f>VLOOKUP(D36,$R$6:$U$16,3,FALSE)</f>
        <v>#N/A</v>
      </c>
      <c r="L37" s="94"/>
      <c r="M37" s="86"/>
      <c r="N37" s="96"/>
      <c r="O37" s="88"/>
      <c r="P37" s="10"/>
      <c r="Q37" s="10"/>
    </row>
    <row r="38" spans="1:17" ht="15">
      <c r="A38" s="75">
        <v>5</v>
      </c>
      <c r="B38" s="77"/>
      <c r="C38" s="78"/>
      <c r="D38" s="89"/>
      <c r="E38" s="90"/>
      <c r="F38" s="81">
        <v>1</v>
      </c>
      <c r="G38" s="4"/>
      <c r="H38" s="50">
        <f t="shared" si="4"/>
      </c>
      <c r="I38" s="83">
        <f>IF(OR(G39="",G38=""),"",STDEV(G38:G39)/AVERAGE(G38:G39))</f>
      </c>
      <c r="J38" s="26">
        <f>IF(G38="","",IF($G$24/G38&lt;1,"менее "&amp;$B$12&amp;",0",IF(10^((H38-INTERCEPT($I$12:$I$16,$H$12:$H$16))/SLOPE($I$12:$I$16,$H$12:$H$16))&gt;$B$16,"более "&amp;$B$16&amp;",0",IF(10^((H38-INTERCEPT($I$12:$I$16,$H$12:$H$16))/SLOPE($I$12:$I$16,$H$12:$H$16))&lt;$B$12,"менее "&amp;$B$12&amp;",0",ROUND(10^((H38-INTERCEPT($I$12:$I$16,$H$12:$H$16))/SLOPE($I$12:$I$16,$H$12:$H$16))*F38,2)))))</f>
      </c>
      <c r="K38" s="57" t="e">
        <f>ABS(J38-J39)</f>
        <v>#VALUE!</v>
      </c>
      <c r="L38" s="93">
        <f>IF(M38="","",IF(M38="более "&amp;$B$16&amp;",0","",IF(M38="менее "&amp;$B$12&amp;",0","",IF(0.01*M38*K39&gt;K38,"приемлемо","неприемлемо"))))</f>
      </c>
      <c r="M38" s="85">
        <f>IF(OR(J38="",J39=""),"",IF(OR(J38="менее "&amp;$B$12&amp;",0",J39="менее "&amp;$B$12&amp;",0"),"менее "&amp;$B$12&amp;",0",IF(OR(J38="более "&amp;$B$16&amp;",0",J39="более "&amp;$B$16&amp;",0"),"более "&amp;$B$16&amp;",0",ROUND(AVERAGE(J38:J39),1))))</f>
      </c>
      <c r="N38" s="95">
        <f>IF(M38="","",IF(M38="более "&amp;$B$16&amp;",0","",IF(M38="менее "&amp;$B$12&amp;",0","",0.01*M38*VLOOKUP(D38,$R$6:$U$16,4,FALSE))))</f>
      </c>
      <c r="O38" s="87"/>
      <c r="P38" s="10"/>
      <c r="Q38" s="10"/>
    </row>
    <row r="39" spans="1:17" ht="15">
      <c r="A39" s="76"/>
      <c r="B39" s="79"/>
      <c r="C39" s="80"/>
      <c r="D39" s="91"/>
      <c r="E39" s="92"/>
      <c r="F39" s="82"/>
      <c r="G39" s="4"/>
      <c r="H39" s="50">
        <f t="shared" si="4"/>
      </c>
      <c r="I39" s="84" t="str">
        <f t="shared" si="3"/>
        <v>0,0%</v>
      </c>
      <c r="J39" s="26">
        <f>IF(G39="","",IF($G$24/G39&lt;1,"менее "&amp;$B$12&amp;",0",IF(10^((H39-INTERCEPT($I$12:$I$16,$H$12:$H$16))/SLOPE($I$12:$I$16,$H$12:$H$16))&gt;$B$16,"более "&amp;$B$16&amp;",0",IF(10^((H39-INTERCEPT($I$12:$I$16,$H$12:$H$16))/SLOPE($I$12:$I$16,$H$12:$H$16))&lt;$B$12,"менее "&amp;$B$12&amp;",0",ROUND(10^((H39-INTERCEPT($I$12:$I$16,$H$12:$H$16))/SLOPE($I$12:$I$16,$H$12:$H$16))*F38,2)))))</f>
      </c>
      <c r="K39" s="58" t="e">
        <f>VLOOKUP(D38,$R$6:$U$16,3,FALSE)</f>
        <v>#N/A</v>
      </c>
      <c r="L39" s="94"/>
      <c r="M39" s="86"/>
      <c r="N39" s="96"/>
      <c r="O39" s="88"/>
      <c r="P39" s="10"/>
      <c r="Q39" s="10"/>
    </row>
    <row r="40" spans="1:17" ht="15">
      <c r="A40" s="75">
        <v>6</v>
      </c>
      <c r="B40" s="77"/>
      <c r="C40" s="78"/>
      <c r="D40" s="89"/>
      <c r="E40" s="90"/>
      <c r="F40" s="81">
        <v>1</v>
      </c>
      <c r="G40" s="4"/>
      <c r="H40" s="50">
        <f t="shared" si="4"/>
      </c>
      <c r="I40" s="83">
        <f>IF(OR(G41="",G40=""),"",STDEV(G40:G41)/AVERAGE(G40:G41))</f>
      </c>
      <c r="J40" s="26">
        <f>IF(G40="","",IF($G$24/G40&lt;1,"менее "&amp;$B$12&amp;",0",IF(10^((H40-INTERCEPT($I$12:$I$16,$H$12:$H$16))/SLOPE($I$12:$I$16,$H$12:$H$16))&gt;$B$16,"более "&amp;$B$16&amp;",0",IF(10^((H40-INTERCEPT($I$12:$I$16,$H$12:$H$16))/SLOPE($I$12:$I$16,$H$12:$H$16))&lt;$B$12,"менее "&amp;$B$12&amp;",0",ROUND(10^((H40-INTERCEPT($I$12:$I$16,$H$12:$H$16))/SLOPE($I$12:$I$16,$H$12:$H$16))*F40,2)))))</f>
      </c>
      <c r="K40" s="57" t="e">
        <f>ABS(J40-J41)</f>
        <v>#VALUE!</v>
      </c>
      <c r="L40" s="93">
        <f>IF(M40="","",IF(M40="более "&amp;$B$16&amp;",0","",IF(M40="менее "&amp;$B$12&amp;",0","",IF(0.01*M40*K41&gt;K40,"приемлемо","неприемлемо"))))</f>
      </c>
      <c r="M40" s="85">
        <f>IF(OR(J40="",J41=""),"",IF(OR(J40="менее "&amp;$B$12&amp;",0",J41="менее "&amp;$B$12&amp;",0"),"менее "&amp;$B$12&amp;",0",IF(OR(J40="более "&amp;$B$16&amp;",0",J41="более "&amp;$B$16&amp;",0"),"более "&amp;$B$16&amp;",0",ROUND(AVERAGE(J40:J41),1))))</f>
      </c>
      <c r="N40" s="95">
        <f>IF(M40="","",IF(M40="более "&amp;$B$16&amp;",0","",IF(M40="менее "&amp;$B$12&amp;",0","",0.01*M40*VLOOKUP(D40,$R$6:$U$16,4,FALSE))))</f>
      </c>
      <c r="O40" s="87"/>
      <c r="P40" s="10"/>
      <c r="Q40" s="10"/>
    </row>
    <row r="41" spans="1:17" ht="15">
      <c r="A41" s="76"/>
      <c r="B41" s="79"/>
      <c r="C41" s="80"/>
      <c r="D41" s="91"/>
      <c r="E41" s="92"/>
      <c r="F41" s="82"/>
      <c r="G41" s="4"/>
      <c r="H41" s="50">
        <f t="shared" si="4"/>
      </c>
      <c r="I41" s="84" t="str">
        <f t="shared" si="3"/>
        <v>0,0%</v>
      </c>
      <c r="J41" s="26">
        <f>IF(G41="","",IF($G$24/G41&lt;1,"менее "&amp;$B$12&amp;",0",IF(10^((H41-INTERCEPT($I$12:$I$16,$H$12:$H$16))/SLOPE($I$12:$I$16,$H$12:$H$16))&gt;$B$16,"более "&amp;$B$16&amp;",0",IF(10^((H41-INTERCEPT($I$12:$I$16,$H$12:$H$16))/SLOPE($I$12:$I$16,$H$12:$H$16))&lt;$B$12,"менее "&amp;$B$12&amp;",0",ROUND(10^((H41-INTERCEPT($I$12:$I$16,$H$12:$H$16))/SLOPE($I$12:$I$16,$H$12:$H$16))*F40,2)))))</f>
      </c>
      <c r="K41" s="58" t="e">
        <f>VLOOKUP(D40,$R$6:$U$16,3,FALSE)</f>
        <v>#N/A</v>
      </c>
      <c r="L41" s="94"/>
      <c r="M41" s="86"/>
      <c r="N41" s="96"/>
      <c r="O41" s="88"/>
      <c r="P41" s="10"/>
      <c r="Q41" s="10"/>
    </row>
    <row r="42" spans="1:17" ht="15">
      <c r="A42" s="75">
        <v>7</v>
      </c>
      <c r="B42" s="77"/>
      <c r="C42" s="78"/>
      <c r="D42" s="89"/>
      <c r="E42" s="90"/>
      <c r="F42" s="81">
        <v>1</v>
      </c>
      <c r="G42" s="4"/>
      <c r="H42" s="50">
        <f t="shared" si="4"/>
      </c>
      <c r="I42" s="83">
        <f>IF(OR(G43="",G42=""),"",STDEV(G42:G43)/AVERAGE(G42:G43))</f>
      </c>
      <c r="J42" s="26">
        <f>IF(G42="","",IF($G$24/G42&lt;1,"менее "&amp;$B$12&amp;",0",IF(10^((H42-INTERCEPT($I$12:$I$16,$H$12:$H$16))/SLOPE($I$12:$I$16,$H$12:$H$16))&gt;$B$16,"более "&amp;$B$16&amp;",0",IF(10^((H42-INTERCEPT($I$12:$I$16,$H$12:$H$16))/SLOPE($I$12:$I$16,$H$12:$H$16))&lt;$B$12,"менее "&amp;$B$12&amp;",0",ROUND(10^((H42-INTERCEPT($I$12:$I$16,$H$12:$H$16))/SLOPE($I$12:$I$16,$H$12:$H$16))*F42,2)))))</f>
      </c>
      <c r="K42" s="57" t="e">
        <f>ABS(J42-J43)</f>
        <v>#VALUE!</v>
      </c>
      <c r="L42" s="93">
        <f>IF(M42="","",IF(M42="более "&amp;$B$16&amp;",0","",IF(M42="менее "&amp;$B$12&amp;",0","",IF(0.01*M42*K43&gt;K42,"приемлемо","неприемлемо"))))</f>
      </c>
      <c r="M42" s="85">
        <f>IF(OR(J42="",J43=""),"",IF(OR(J42="менее "&amp;$B$12&amp;",0",J43="менее "&amp;$B$12&amp;",0"),"менее "&amp;$B$12&amp;",0",IF(OR(J42="более "&amp;$B$16&amp;",0",J43="более "&amp;$B$16&amp;",0"),"более "&amp;$B$16&amp;",0",ROUND(AVERAGE(J42:J43),1))))</f>
      </c>
      <c r="N42" s="95">
        <f>IF(M42="","",IF(M42="более "&amp;$B$16&amp;",0","",IF(M42="менее "&amp;$B$12&amp;",0","",0.01*M42*VLOOKUP(D42,$R$6:$U$16,4,FALSE))))</f>
      </c>
      <c r="O42" s="87"/>
      <c r="P42" s="10"/>
      <c r="Q42" s="10"/>
    </row>
    <row r="43" spans="1:17" ht="15">
      <c r="A43" s="76"/>
      <c r="B43" s="79"/>
      <c r="C43" s="80"/>
      <c r="D43" s="91"/>
      <c r="E43" s="92"/>
      <c r="F43" s="82"/>
      <c r="G43" s="4"/>
      <c r="H43" s="50">
        <f t="shared" si="4"/>
      </c>
      <c r="I43" s="84" t="str">
        <f t="shared" si="3"/>
        <v>0,0%</v>
      </c>
      <c r="J43" s="26">
        <f>IF(G43="","",IF($G$24/G43&lt;1,"менее "&amp;$B$12&amp;",0",IF(10^((H43-INTERCEPT($I$12:$I$16,$H$12:$H$16))/SLOPE($I$12:$I$16,$H$12:$H$16))&gt;$B$16,"более "&amp;$B$16&amp;",0",IF(10^((H43-INTERCEPT($I$12:$I$16,$H$12:$H$16))/SLOPE($I$12:$I$16,$H$12:$H$16))&lt;$B$12,"менее "&amp;$B$12&amp;",0",ROUND(10^((H43-INTERCEPT($I$12:$I$16,$H$12:$H$16))/SLOPE($I$12:$I$16,$H$12:$H$16))*F42,2)))))</f>
      </c>
      <c r="K43" s="58" t="e">
        <f>VLOOKUP(D42,$R$6:$U$16,3,FALSE)</f>
        <v>#N/A</v>
      </c>
      <c r="L43" s="94"/>
      <c r="M43" s="86"/>
      <c r="N43" s="96"/>
      <c r="O43" s="88"/>
      <c r="P43" s="10"/>
      <c r="Q43" s="10"/>
    </row>
    <row r="44" spans="1:17" ht="15">
      <c r="A44" s="75">
        <v>8</v>
      </c>
      <c r="B44" s="77"/>
      <c r="C44" s="78"/>
      <c r="D44" s="89">
        <v>1</v>
      </c>
      <c r="E44" s="90"/>
      <c r="F44" s="81">
        <v>1</v>
      </c>
      <c r="G44" s="4"/>
      <c r="H44" s="50">
        <f t="shared" si="4"/>
      </c>
      <c r="I44" s="83">
        <f>IF(OR(G45="",G44=""),"",STDEV(G44:G45)/AVERAGE(G44:G45))</f>
      </c>
      <c r="J44" s="26">
        <f>IF(G44="","",IF($G$24/G44&lt;1,"менее "&amp;$B$12&amp;",0",IF(10^((H44-INTERCEPT($I$12:$I$16,$H$12:$H$16))/SLOPE($I$12:$I$16,$H$12:$H$16))&gt;$B$16,"более "&amp;$B$16&amp;",0",IF(10^((H44-INTERCEPT($I$12:$I$16,$H$12:$H$16))/SLOPE($I$12:$I$16,$H$12:$H$16))&lt;$B$12,"менее "&amp;$B$12&amp;",0",ROUND(10^((H44-INTERCEPT($I$12:$I$16,$H$12:$H$16))/SLOPE($I$12:$I$16,$H$12:$H$16))*F44,2)))))</f>
      </c>
      <c r="K44" s="57" t="e">
        <f>ABS(J44-J45)</f>
        <v>#VALUE!</v>
      </c>
      <c r="L44" s="93">
        <f>IF(M44="","",IF(M44="более "&amp;$B$16&amp;",0","",IF(M44="менее "&amp;$B$12&amp;",0","",IF(0.01*M44*K45&gt;K44,"приемлемо","неприемлемо"))))</f>
      </c>
      <c r="M44" s="85">
        <f>IF(OR(J44="",J45=""),"",IF(OR(J44="менее "&amp;$B$12&amp;",0",J45="менее "&amp;$B$12&amp;",0"),"менее "&amp;$B$12&amp;",0",IF(OR(J44="более "&amp;$B$16&amp;",0",J45="более "&amp;$B$16&amp;",0"),"более "&amp;$B$16&amp;",0",ROUND(AVERAGE(J44:J45),1))))</f>
      </c>
      <c r="N44" s="95">
        <f>IF(M44="","",IF(M44="более "&amp;$B$16&amp;",0","",IF(M44="менее "&amp;$B$12&amp;",0","",0.01*M44*VLOOKUP(D44,$R$6:$U$16,4,FALSE))))</f>
      </c>
      <c r="O44" s="87"/>
      <c r="P44" s="10"/>
      <c r="Q44" s="10"/>
    </row>
    <row r="45" spans="1:17" ht="15">
      <c r="A45" s="76"/>
      <c r="B45" s="79"/>
      <c r="C45" s="80"/>
      <c r="D45" s="91"/>
      <c r="E45" s="92"/>
      <c r="F45" s="82"/>
      <c r="G45" s="4"/>
      <c r="H45" s="50">
        <f t="shared" si="4"/>
      </c>
      <c r="I45" s="84" t="str">
        <f t="shared" si="3"/>
        <v>0,0%</v>
      </c>
      <c r="J45" s="26">
        <f>IF(G45="","",IF($G$24/G45&lt;1,"менее "&amp;$B$12&amp;",0",IF(10^((H45-INTERCEPT($I$12:$I$16,$H$12:$H$16))/SLOPE($I$12:$I$16,$H$12:$H$16))&gt;$B$16,"более "&amp;$B$16&amp;",0",IF(10^((H45-INTERCEPT($I$12:$I$16,$H$12:$H$16))/SLOPE($I$12:$I$16,$H$12:$H$16))&lt;$B$12,"менее "&amp;$B$12&amp;",0",ROUND(10^((H45-INTERCEPT($I$12:$I$16,$H$12:$H$16))/SLOPE($I$12:$I$16,$H$12:$H$16))*F44,2)))))</f>
      </c>
      <c r="K45" s="58" t="e">
        <f>VLOOKUP(D44,$R$6:$U$16,3,FALSE)</f>
        <v>#N/A</v>
      </c>
      <c r="L45" s="94"/>
      <c r="M45" s="86"/>
      <c r="N45" s="96"/>
      <c r="O45" s="88"/>
      <c r="P45" s="10"/>
      <c r="Q45" s="10"/>
    </row>
    <row r="46" spans="1:17" ht="15">
      <c r="A46" s="75">
        <v>9</v>
      </c>
      <c r="B46" s="77"/>
      <c r="C46" s="78"/>
      <c r="D46" s="89">
        <v>1</v>
      </c>
      <c r="E46" s="90"/>
      <c r="F46" s="81">
        <v>1</v>
      </c>
      <c r="G46" s="4"/>
      <c r="H46" s="50">
        <f t="shared" si="4"/>
      </c>
      <c r="I46" s="83">
        <f>IF(OR(G47="",G46=""),"",STDEV(G46:G47)/AVERAGE(G46:G47))</f>
      </c>
      <c r="J46" s="26">
        <f>IF(G46="","",IF($G$24/G46&lt;1,"менее "&amp;$B$12&amp;",0",IF(10^((H46-INTERCEPT($I$12:$I$16,$H$12:$H$16))/SLOPE($I$12:$I$16,$H$12:$H$16))&gt;$B$16,"более "&amp;$B$16&amp;",0",IF(10^((H46-INTERCEPT($I$12:$I$16,$H$12:$H$16))/SLOPE($I$12:$I$16,$H$12:$H$16))&lt;$B$12,"менее "&amp;$B$12&amp;",0",ROUND(10^((H46-INTERCEPT($I$12:$I$16,$H$12:$H$16))/SLOPE($I$12:$I$16,$H$12:$H$16))*F46,2)))))</f>
      </c>
      <c r="K46" s="57" t="e">
        <f>ABS(J46-J47)</f>
        <v>#VALUE!</v>
      </c>
      <c r="L46" s="93">
        <f>IF(M46="","",IF(M46="более "&amp;$B$16&amp;",0","",IF(M46="менее "&amp;$B$12&amp;",0","",IF(0.01*M46*K47&gt;K46,"приемлемо","неприемлемо"))))</f>
      </c>
      <c r="M46" s="85">
        <f>IF(OR(J46="",J47=""),"",IF(OR(J46="менее "&amp;$B$12&amp;",0",J47="менее "&amp;$B$12&amp;",0"),"менее "&amp;$B$12&amp;",0",IF(OR(J46="более "&amp;$B$16&amp;",0",J47="более "&amp;$B$16&amp;",0"),"более "&amp;$B$16&amp;",0",ROUND(AVERAGE(J46:J47),1))))</f>
      </c>
      <c r="N46" s="95">
        <f>IF(M46="","",IF(M46="более "&amp;$B$16&amp;",0","",IF(M46="менее "&amp;$B$12&amp;",0","",0.01*M46*VLOOKUP(D46,$R$6:$U$16,4,FALSE))))</f>
      </c>
      <c r="O46" s="87"/>
      <c r="P46" s="10"/>
      <c r="Q46" s="10"/>
    </row>
    <row r="47" spans="1:17" ht="15">
      <c r="A47" s="76"/>
      <c r="B47" s="79"/>
      <c r="C47" s="80"/>
      <c r="D47" s="91"/>
      <c r="E47" s="92"/>
      <c r="F47" s="82"/>
      <c r="G47" s="4"/>
      <c r="H47" s="50">
        <f t="shared" si="4"/>
      </c>
      <c r="I47" s="84" t="str">
        <f t="shared" si="3"/>
        <v>0,0%</v>
      </c>
      <c r="J47" s="26">
        <f>IF(G47="","",IF($G$24/G47&lt;1,"менее "&amp;$B$12&amp;",0",IF(10^((H47-INTERCEPT($I$12:$I$16,$H$12:$H$16))/SLOPE($I$12:$I$16,$H$12:$H$16))&gt;$B$16,"более "&amp;$B$16&amp;",0",IF(10^((H47-INTERCEPT($I$12:$I$16,$H$12:$H$16))/SLOPE($I$12:$I$16,$H$12:$H$16))&lt;$B$12,"менее "&amp;$B$12&amp;",0",ROUND(10^((H47-INTERCEPT($I$12:$I$16,$H$12:$H$16))/SLOPE($I$12:$I$16,$H$12:$H$16))*F46,2)))))</f>
      </c>
      <c r="K47" s="58" t="e">
        <f>VLOOKUP(D46,$R$6:$U$16,3,FALSE)</f>
        <v>#N/A</v>
      </c>
      <c r="L47" s="94"/>
      <c r="M47" s="86"/>
      <c r="N47" s="96"/>
      <c r="O47" s="88"/>
      <c r="P47" s="10"/>
      <c r="Q47" s="10"/>
    </row>
    <row r="48" spans="1:17" ht="15">
      <c r="A48" s="75">
        <v>10</v>
      </c>
      <c r="B48" s="77"/>
      <c r="C48" s="78"/>
      <c r="D48" s="89">
        <v>1</v>
      </c>
      <c r="E48" s="90"/>
      <c r="F48" s="81">
        <v>1</v>
      </c>
      <c r="G48" s="4"/>
      <c r="H48" s="50">
        <f t="shared" si="4"/>
      </c>
      <c r="I48" s="83">
        <f>IF(OR(G49="",G48=""),"",STDEV(G48:G49)/AVERAGE(G48:G49))</f>
      </c>
      <c r="J48" s="26">
        <f>IF(G48="","",IF($G$24/G48&lt;1,"менее "&amp;$B$12&amp;",0",IF(10^((H48-INTERCEPT($I$12:$I$16,$H$12:$H$16))/SLOPE($I$12:$I$16,$H$12:$H$16))&gt;$B$16,"более "&amp;$B$16&amp;",0",IF(10^((H48-INTERCEPT($I$12:$I$16,$H$12:$H$16))/SLOPE($I$12:$I$16,$H$12:$H$16))&lt;$B$12,"менее "&amp;$B$12&amp;",0",ROUND(10^((H48-INTERCEPT($I$12:$I$16,$H$12:$H$16))/SLOPE($I$12:$I$16,$H$12:$H$16))*F48,2)))))</f>
      </c>
      <c r="K48" s="57" t="e">
        <f>ABS(J48-J49)</f>
        <v>#VALUE!</v>
      </c>
      <c r="L48" s="93">
        <f>IF(M48="","",IF(M48="более "&amp;$B$16&amp;",0","",IF(M48="менее "&amp;$B$12&amp;",0","",IF(0.01*M48*K49&gt;K48,"приемлемо","неприемлемо"))))</f>
      </c>
      <c r="M48" s="85">
        <f>IF(OR(J48="",J49=""),"",IF(OR(J48="менее "&amp;$B$12&amp;",0",J49="менее "&amp;$B$12&amp;",0"),"менее "&amp;$B$12&amp;",0",IF(OR(J48="более "&amp;$B$16&amp;",0",J49="более "&amp;$B$16&amp;",0"),"более "&amp;$B$16&amp;",0",ROUND(AVERAGE(J48:J49),1))))</f>
      </c>
      <c r="N48" s="95">
        <f>IF(M48="","",IF(M48="более "&amp;$B$16&amp;",0","",IF(M48="менее "&amp;$B$12&amp;",0","",0.01*M48*VLOOKUP(D48,$R$6:$U$16,4,FALSE))))</f>
      </c>
      <c r="O48" s="87"/>
      <c r="P48" s="10"/>
      <c r="Q48" s="10"/>
    </row>
    <row r="49" spans="1:17" ht="15">
      <c r="A49" s="76"/>
      <c r="B49" s="79"/>
      <c r="C49" s="80"/>
      <c r="D49" s="91"/>
      <c r="E49" s="92"/>
      <c r="F49" s="82"/>
      <c r="G49" s="4"/>
      <c r="H49" s="50">
        <f t="shared" si="4"/>
      </c>
      <c r="I49" s="84" t="str">
        <f t="shared" si="3"/>
        <v>0,0%</v>
      </c>
      <c r="J49" s="26">
        <f>IF(G49="","",IF($G$24/G49&lt;1,"менее "&amp;$B$12&amp;",0",IF(10^((H49-INTERCEPT($I$12:$I$16,$H$12:$H$16))/SLOPE($I$12:$I$16,$H$12:$H$16))&gt;$B$16,"более "&amp;$B$16&amp;",0",IF(10^((H49-INTERCEPT($I$12:$I$16,$H$12:$H$16))/SLOPE($I$12:$I$16,$H$12:$H$16))&lt;$B$12,"менее "&amp;$B$12&amp;",0",ROUND(10^((H49-INTERCEPT($I$12:$I$16,$H$12:$H$16))/SLOPE($I$12:$I$16,$H$12:$H$16))*F48,2)))))</f>
      </c>
      <c r="K49" s="58" t="e">
        <f>VLOOKUP(D48,$R$6:$U$16,3,FALSE)</f>
        <v>#N/A</v>
      </c>
      <c r="L49" s="94"/>
      <c r="M49" s="86"/>
      <c r="N49" s="96"/>
      <c r="O49" s="88"/>
      <c r="P49" s="10"/>
      <c r="Q49" s="10"/>
    </row>
    <row r="50" spans="1:17" ht="15">
      <c r="A50" s="75">
        <v>11</v>
      </c>
      <c r="B50" s="77"/>
      <c r="C50" s="78"/>
      <c r="D50" s="89">
        <v>1</v>
      </c>
      <c r="E50" s="90"/>
      <c r="F50" s="81">
        <v>1</v>
      </c>
      <c r="G50" s="4"/>
      <c r="H50" s="50">
        <f t="shared" si="4"/>
      </c>
      <c r="I50" s="83">
        <f>IF(OR(G51="",G50=""),"",STDEV(G50:G51)/AVERAGE(G50:G51))</f>
      </c>
      <c r="J50" s="26">
        <f>IF(G50="","",IF($G$24/G50&lt;1,"менее "&amp;$B$12&amp;",0",IF(10^((H50-INTERCEPT($I$12:$I$16,$H$12:$H$16))/SLOPE($I$12:$I$16,$H$12:$H$16))&gt;$B$16,"более "&amp;$B$16&amp;",0",IF(10^((H50-INTERCEPT($I$12:$I$16,$H$12:$H$16))/SLOPE($I$12:$I$16,$H$12:$H$16))&lt;$B$12,"менее "&amp;$B$12&amp;",0",ROUND(10^((H50-INTERCEPT($I$12:$I$16,$H$12:$H$16))/SLOPE($I$12:$I$16,$H$12:$H$16))*F50,2)))))</f>
      </c>
      <c r="K50" s="57" t="e">
        <f>ABS(J50-J51)</f>
        <v>#VALUE!</v>
      </c>
      <c r="L50" s="93">
        <f>IF(M50="","",IF(M50="более "&amp;$B$16&amp;",0","",IF(M50="менее "&amp;$B$12&amp;",0","",IF(0.01*M50*K51&gt;K50,"приемлемо","неприемлемо"))))</f>
      </c>
      <c r="M50" s="85">
        <f>IF(OR(J50="",J51=""),"",IF(OR(J50="менее "&amp;$B$12&amp;",0",J51="менее "&amp;$B$12&amp;",0"),"менее "&amp;$B$12&amp;",0",IF(OR(J50="более "&amp;$B$16&amp;",0",J51="более "&amp;$B$16&amp;",0"),"более "&amp;$B$16&amp;",0",ROUND(AVERAGE(J50:J51),1))))</f>
      </c>
      <c r="N50" s="95">
        <f>IF(M50="","",IF(M50="более "&amp;$B$16&amp;",0","",IF(M50="менее "&amp;$B$12&amp;",0","",0.01*M50*VLOOKUP(D50,$R$6:$U$16,4,FALSE))))</f>
      </c>
      <c r="O50" s="87"/>
      <c r="P50" s="10"/>
      <c r="Q50" s="10"/>
    </row>
    <row r="51" spans="1:17" ht="15">
      <c r="A51" s="76"/>
      <c r="B51" s="79"/>
      <c r="C51" s="80"/>
      <c r="D51" s="91"/>
      <c r="E51" s="92"/>
      <c r="F51" s="82"/>
      <c r="G51" s="4"/>
      <c r="H51" s="50">
        <f t="shared" si="4"/>
      </c>
      <c r="I51" s="84" t="str">
        <f t="shared" si="3"/>
        <v>0,0%</v>
      </c>
      <c r="J51" s="26">
        <f>IF(G51="","",IF($G$24/G51&lt;1,"менее "&amp;$B$12&amp;",0",IF(10^((H51-INTERCEPT($I$12:$I$16,$H$12:$H$16))/SLOPE($I$12:$I$16,$H$12:$H$16))&gt;$B$16,"более "&amp;$B$16&amp;",0",IF(10^((H51-INTERCEPT($I$12:$I$16,$H$12:$H$16))/SLOPE($I$12:$I$16,$H$12:$H$16))&lt;$B$12,"менее "&amp;$B$12&amp;",0",ROUND(10^((H51-INTERCEPT($I$12:$I$16,$H$12:$H$16))/SLOPE($I$12:$I$16,$H$12:$H$16))*F50,2)))))</f>
      </c>
      <c r="K51" s="58" t="e">
        <f>VLOOKUP(D50,$R$6:$U$16,3,FALSE)</f>
        <v>#N/A</v>
      </c>
      <c r="L51" s="94"/>
      <c r="M51" s="86"/>
      <c r="N51" s="96"/>
      <c r="O51" s="88"/>
      <c r="P51" s="10"/>
      <c r="Q51" s="10"/>
    </row>
    <row r="52" spans="1:17" ht="15">
      <c r="A52" s="75">
        <v>12</v>
      </c>
      <c r="B52" s="77"/>
      <c r="C52" s="78"/>
      <c r="D52" s="89">
        <v>1</v>
      </c>
      <c r="E52" s="90"/>
      <c r="F52" s="81">
        <v>1</v>
      </c>
      <c r="G52" s="4"/>
      <c r="H52" s="50">
        <f t="shared" si="4"/>
      </c>
      <c r="I52" s="83">
        <f>IF(OR(G53="",G52=""),"",STDEV(G52:G53)/AVERAGE(G52:G53))</f>
      </c>
      <c r="J52" s="26">
        <f>IF(G52="","",IF($G$24/G52&lt;1,"менее "&amp;$B$12&amp;",0",IF(10^((H52-INTERCEPT($I$12:$I$16,$H$12:$H$16))/SLOPE($I$12:$I$16,$H$12:$H$16))&gt;$B$16,"более "&amp;$B$16&amp;",0",IF(10^((H52-INTERCEPT($I$12:$I$16,$H$12:$H$16))/SLOPE($I$12:$I$16,$H$12:$H$16))&lt;$B$12,"менее "&amp;$B$12&amp;",0",ROUND(10^((H52-INTERCEPT($I$12:$I$16,$H$12:$H$16))/SLOPE($I$12:$I$16,$H$12:$H$16))*F52,2)))))</f>
      </c>
      <c r="K52" s="57" t="e">
        <f>ABS(J52-J53)</f>
        <v>#VALUE!</v>
      </c>
      <c r="L52" s="93">
        <f>IF(M52="","",IF(M52="более "&amp;$B$16&amp;",0","",IF(M52="менее "&amp;$B$12&amp;",0","",IF(0.01*M52*K53&gt;K52,"приемлемо","неприемлемо"))))</f>
      </c>
      <c r="M52" s="85">
        <f>IF(OR(J52="",J53=""),"",IF(OR(J52="менее "&amp;$B$12&amp;",0",J53="менее "&amp;$B$12&amp;",0"),"менее "&amp;$B$12&amp;",0",IF(OR(J52="более "&amp;$B$16&amp;",0",J53="более "&amp;$B$16&amp;",0"),"более "&amp;$B$16&amp;",0",ROUND(AVERAGE(J52:J53),1))))</f>
      </c>
      <c r="N52" s="95">
        <f>IF(M52="","",IF(M52="более "&amp;$B$16&amp;",0","",IF(M52="менее "&amp;$B$12&amp;",0","",0.01*M52*VLOOKUP(D52,$R$6:$U$16,4,FALSE))))</f>
      </c>
      <c r="O52" s="87"/>
      <c r="P52" s="10"/>
      <c r="Q52" s="10"/>
    </row>
    <row r="53" spans="1:17" ht="15">
      <c r="A53" s="76"/>
      <c r="B53" s="79"/>
      <c r="C53" s="80"/>
      <c r="D53" s="91"/>
      <c r="E53" s="92"/>
      <c r="F53" s="82"/>
      <c r="G53" s="4"/>
      <c r="H53" s="50">
        <f t="shared" si="4"/>
      </c>
      <c r="I53" s="84" t="str">
        <f t="shared" si="3"/>
        <v>0,0%</v>
      </c>
      <c r="J53" s="26">
        <f>IF(G53="","",IF($G$24/G53&lt;1,"менее "&amp;$B$12&amp;",0",IF(10^((H53-INTERCEPT($I$12:$I$16,$H$12:$H$16))/SLOPE($I$12:$I$16,$H$12:$H$16))&gt;$B$16,"более "&amp;$B$16&amp;",0",IF(10^((H53-INTERCEPT($I$12:$I$16,$H$12:$H$16))/SLOPE($I$12:$I$16,$H$12:$H$16))&lt;$B$12,"менее "&amp;$B$12&amp;",0",ROUND(10^((H53-INTERCEPT($I$12:$I$16,$H$12:$H$16))/SLOPE($I$12:$I$16,$H$12:$H$16))*F52,2)))))</f>
      </c>
      <c r="K53" s="58" t="e">
        <f>VLOOKUP(D52,$R$6:$U$16,3,FALSE)</f>
        <v>#N/A</v>
      </c>
      <c r="L53" s="94"/>
      <c r="M53" s="86"/>
      <c r="N53" s="96"/>
      <c r="O53" s="88"/>
      <c r="P53" s="10"/>
      <c r="Q53" s="10"/>
    </row>
    <row r="54" spans="1:17" ht="15">
      <c r="A54" s="75">
        <v>13</v>
      </c>
      <c r="B54" s="77"/>
      <c r="C54" s="78"/>
      <c r="D54" s="89">
        <v>1</v>
      </c>
      <c r="E54" s="90"/>
      <c r="F54" s="81">
        <v>1</v>
      </c>
      <c r="G54" s="4"/>
      <c r="H54" s="50">
        <f t="shared" si="4"/>
      </c>
      <c r="I54" s="83">
        <f>IF(OR(G55="",G54=""),"",STDEV(G54:G55)/AVERAGE(G54:G55))</f>
      </c>
      <c r="J54" s="26">
        <f>IF(G54="","",IF($G$24/G54&lt;1,"менее "&amp;$B$12&amp;",0",IF(10^((H54-INTERCEPT($I$12:$I$16,$H$12:$H$16))/SLOPE($I$12:$I$16,$H$12:$H$16))&gt;$B$16,"более "&amp;$B$16&amp;",0",IF(10^((H54-INTERCEPT($I$12:$I$16,$H$12:$H$16))/SLOPE($I$12:$I$16,$H$12:$H$16))&lt;$B$12,"менее "&amp;$B$12&amp;",0",ROUND(10^((H54-INTERCEPT($I$12:$I$16,$H$12:$H$16))/SLOPE($I$12:$I$16,$H$12:$H$16))*F54,2)))))</f>
      </c>
      <c r="K54" s="57" t="e">
        <f>ABS(J54-J55)</f>
        <v>#VALUE!</v>
      </c>
      <c r="L54" s="93">
        <f>IF(M54="","",IF(M54="более "&amp;$B$16&amp;",0","",IF(M54="менее "&amp;$B$12&amp;",0","",IF(0.01*M54*K55&gt;K54,"приемлемо","неприемлемо"))))</f>
      </c>
      <c r="M54" s="85">
        <f>IF(OR(J54="",J55=""),"",IF(OR(J54="менее "&amp;$B$12&amp;",0",J55="менее "&amp;$B$12&amp;",0"),"менее "&amp;$B$12&amp;",0",IF(OR(J54="более "&amp;$B$16&amp;",0",J55="более "&amp;$B$16&amp;",0"),"более "&amp;$B$16&amp;",0",ROUND(AVERAGE(J54:J55),1))))</f>
      </c>
      <c r="N54" s="95">
        <f>IF(M54="","",IF(M54="более "&amp;$B$16&amp;",0","",IF(M54="менее "&amp;$B$12&amp;",0","",0.01*M54*VLOOKUP(D54,$R$6:$U$16,4,FALSE))))</f>
      </c>
      <c r="O54" s="87"/>
      <c r="P54" s="10"/>
      <c r="Q54" s="10"/>
    </row>
    <row r="55" spans="1:17" ht="15">
      <c r="A55" s="76"/>
      <c r="B55" s="79"/>
      <c r="C55" s="80"/>
      <c r="D55" s="91"/>
      <c r="E55" s="92"/>
      <c r="F55" s="82"/>
      <c r="G55" s="4"/>
      <c r="H55" s="50">
        <f t="shared" si="4"/>
      </c>
      <c r="I55" s="84" t="str">
        <f t="shared" si="3"/>
        <v>0,0%</v>
      </c>
      <c r="J55" s="26">
        <f>IF(G55="","",IF($G$24/G55&lt;1,"менее "&amp;$B$12&amp;",0",IF(10^((H55-INTERCEPT($I$12:$I$16,$H$12:$H$16))/SLOPE($I$12:$I$16,$H$12:$H$16))&gt;$B$16,"более "&amp;$B$16&amp;",0",IF(10^((H55-INTERCEPT($I$12:$I$16,$H$12:$H$16))/SLOPE($I$12:$I$16,$H$12:$H$16))&lt;$B$12,"менее "&amp;$B$12&amp;",0",ROUND(10^((H55-INTERCEPT($I$12:$I$16,$H$12:$H$16))/SLOPE($I$12:$I$16,$H$12:$H$16))*F54,2)))))</f>
      </c>
      <c r="K55" s="58" t="e">
        <f>VLOOKUP(D54,$R$6:$U$16,3,FALSE)</f>
        <v>#N/A</v>
      </c>
      <c r="L55" s="94"/>
      <c r="M55" s="86"/>
      <c r="N55" s="96"/>
      <c r="O55" s="88"/>
      <c r="P55" s="10"/>
      <c r="Q55" s="10"/>
    </row>
    <row r="56" spans="1:17" ht="15">
      <c r="A56" s="75">
        <v>14</v>
      </c>
      <c r="B56" s="77"/>
      <c r="C56" s="78"/>
      <c r="D56" s="89">
        <v>1</v>
      </c>
      <c r="E56" s="90"/>
      <c r="F56" s="81">
        <v>1</v>
      </c>
      <c r="G56" s="4"/>
      <c r="H56" s="50">
        <f t="shared" si="4"/>
      </c>
      <c r="I56" s="83">
        <f>IF(OR(G57="",G56=""),"",STDEV(G56:G57)/AVERAGE(G56:G57))</f>
      </c>
      <c r="J56" s="26">
        <f>IF(G56="","",IF($G$24/G56&lt;1,"менее "&amp;$B$12&amp;",0",IF(10^((H56-INTERCEPT($I$12:$I$16,$H$12:$H$16))/SLOPE($I$12:$I$16,$H$12:$H$16))&gt;$B$16,"более "&amp;$B$16&amp;",0",IF(10^((H56-INTERCEPT($I$12:$I$16,$H$12:$H$16))/SLOPE($I$12:$I$16,$H$12:$H$16))&lt;$B$12,"менее "&amp;$B$12&amp;",0",ROUND(10^((H56-INTERCEPT($I$12:$I$16,$H$12:$H$16))/SLOPE($I$12:$I$16,$H$12:$H$16))*F56,2)))))</f>
      </c>
      <c r="K56" s="57" t="e">
        <f>ABS(J56-J57)</f>
        <v>#VALUE!</v>
      </c>
      <c r="L56" s="93">
        <f>IF(M56="","",IF(M56="более "&amp;$B$16&amp;",0","",IF(M56="менее "&amp;$B$12&amp;",0","",IF(0.01*M56*K57&gt;K56,"приемлемо","неприемлемо"))))</f>
      </c>
      <c r="M56" s="85">
        <f>IF(OR(J56="",J57=""),"",IF(OR(J56="менее "&amp;$B$12&amp;",0",J57="менее "&amp;$B$12&amp;",0"),"менее "&amp;$B$12&amp;",0",IF(OR(J56="более "&amp;$B$16&amp;",0",J57="более "&amp;$B$16&amp;",0"),"более "&amp;$B$16&amp;",0",ROUND(AVERAGE(J56:J57),1))))</f>
      </c>
      <c r="N56" s="95">
        <f>IF(M56="","",IF(M56="более "&amp;$B$16&amp;",0","",IF(M56="менее "&amp;$B$12&amp;",0","",0.01*M56*VLOOKUP(D56,$R$6:$U$16,4,FALSE))))</f>
      </c>
      <c r="O56" s="87"/>
      <c r="P56" s="10"/>
      <c r="Q56" s="10"/>
    </row>
    <row r="57" spans="1:17" ht="15">
      <c r="A57" s="76"/>
      <c r="B57" s="79"/>
      <c r="C57" s="80"/>
      <c r="D57" s="91"/>
      <c r="E57" s="92"/>
      <c r="F57" s="82"/>
      <c r="G57" s="4"/>
      <c r="H57" s="50">
        <f t="shared" si="4"/>
      </c>
      <c r="I57" s="84" t="str">
        <f t="shared" si="3"/>
        <v>0,0%</v>
      </c>
      <c r="J57" s="26">
        <f>IF(G57="","",IF($G$24/G57&lt;1,"менее "&amp;$B$12&amp;",0",IF(10^((H57-INTERCEPT($I$12:$I$16,$H$12:$H$16))/SLOPE($I$12:$I$16,$H$12:$H$16))&gt;$B$16,"более "&amp;$B$16&amp;",0",IF(10^((H57-INTERCEPT($I$12:$I$16,$H$12:$H$16))/SLOPE($I$12:$I$16,$H$12:$H$16))&lt;$B$12,"менее "&amp;$B$12&amp;",0",ROUND(10^((H57-INTERCEPT($I$12:$I$16,$H$12:$H$16))/SLOPE($I$12:$I$16,$H$12:$H$16))*F56,2)))))</f>
      </c>
      <c r="K57" s="58" t="e">
        <f>VLOOKUP(D56,$R$6:$U$16,3,FALSE)</f>
        <v>#N/A</v>
      </c>
      <c r="L57" s="94"/>
      <c r="M57" s="86"/>
      <c r="N57" s="96"/>
      <c r="O57" s="88"/>
      <c r="P57" s="10"/>
      <c r="Q57" s="10"/>
    </row>
    <row r="58" spans="1:17" ht="15">
      <c r="A58" s="75">
        <v>15</v>
      </c>
      <c r="B58" s="77"/>
      <c r="C58" s="78"/>
      <c r="D58" s="89">
        <v>1</v>
      </c>
      <c r="E58" s="90"/>
      <c r="F58" s="81">
        <v>1</v>
      </c>
      <c r="G58" s="4"/>
      <c r="H58" s="50">
        <f t="shared" si="4"/>
      </c>
      <c r="I58" s="83">
        <f>IF(OR(G59="",G58=""),"",STDEV(G58:G59)/AVERAGE(G58:G59))</f>
      </c>
      <c r="J58" s="26">
        <f>IF(G58="","",IF($G$24/G58&lt;1,"менее "&amp;$B$12&amp;",0",IF(10^((H58-INTERCEPT($I$12:$I$16,$H$12:$H$16))/SLOPE($I$12:$I$16,$H$12:$H$16))&gt;$B$16,"более "&amp;$B$16&amp;",0",IF(10^((H58-INTERCEPT($I$12:$I$16,$H$12:$H$16))/SLOPE($I$12:$I$16,$H$12:$H$16))&lt;$B$12,"менее "&amp;$B$12&amp;",0",ROUND(10^((H58-INTERCEPT($I$12:$I$16,$H$12:$H$16))/SLOPE($I$12:$I$16,$H$12:$H$16))*F58,2)))))</f>
      </c>
      <c r="K58" s="57" t="e">
        <f>ABS(J58-J59)</f>
        <v>#VALUE!</v>
      </c>
      <c r="L58" s="93">
        <f>IF(M58="","",IF(M58="более "&amp;$B$16&amp;",0","",IF(M58="менее "&amp;$B$12&amp;",0","",IF(0.01*M58*K59&gt;K58,"приемлемо","неприемлемо"))))</f>
      </c>
      <c r="M58" s="85">
        <f>IF(OR(J58="",J59=""),"",IF(OR(J58="менее "&amp;$B$12&amp;",0",J59="менее "&amp;$B$12&amp;",0"),"менее "&amp;$B$12&amp;",0",IF(OR(J58="более "&amp;$B$16&amp;",0",J59="более "&amp;$B$16&amp;",0"),"более "&amp;$B$16&amp;",0",ROUND(AVERAGE(J58:J59),1))))</f>
      </c>
      <c r="N58" s="95">
        <f>IF(M58="","",IF(M58="более "&amp;$B$16&amp;",0","",IF(M58="менее "&amp;$B$12&amp;",0","",0.01*M58*VLOOKUP(D58,$R$6:$U$16,4,FALSE))))</f>
      </c>
      <c r="O58" s="87"/>
      <c r="P58" s="10"/>
      <c r="Q58" s="10"/>
    </row>
    <row r="59" spans="1:17" ht="15">
      <c r="A59" s="76"/>
      <c r="B59" s="79"/>
      <c r="C59" s="80"/>
      <c r="D59" s="91"/>
      <c r="E59" s="92"/>
      <c r="F59" s="82"/>
      <c r="G59" s="4"/>
      <c r="H59" s="50">
        <f t="shared" si="4"/>
      </c>
      <c r="I59" s="84" t="str">
        <f t="shared" si="3"/>
        <v>0,0%</v>
      </c>
      <c r="J59" s="26">
        <f>IF(G59="","",IF($G$24/G59&lt;1,"менее "&amp;$B$12&amp;",0",IF(10^((H59-INTERCEPT($I$12:$I$16,$H$12:$H$16))/SLOPE($I$12:$I$16,$H$12:$H$16))&gt;$B$16,"более "&amp;$B$16&amp;",0",IF(10^((H59-INTERCEPT($I$12:$I$16,$H$12:$H$16))/SLOPE($I$12:$I$16,$H$12:$H$16))&lt;$B$12,"менее "&amp;$B$12&amp;",0",ROUND(10^((H59-INTERCEPT($I$12:$I$16,$H$12:$H$16))/SLOPE($I$12:$I$16,$H$12:$H$16))*F58,2)))))</f>
      </c>
      <c r="K59" s="58" t="e">
        <f>VLOOKUP(D58,$R$6:$U$16,3,FALSE)</f>
        <v>#N/A</v>
      </c>
      <c r="L59" s="94"/>
      <c r="M59" s="86"/>
      <c r="N59" s="96"/>
      <c r="O59" s="88"/>
      <c r="P59" s="10"/>
      <c r="Q59" s="10"/>
    </row>
    <row r="60" spans="1:17" ht="15">
      <c r="A60" s="75">
        <v>16</v>
      </c>
      <c r="B60" s="77"/>
      <c r="C60" s="78"/>
      <c r="D60" s="89">
        <v>1</v>
      </c>
      <c r="E60" s="90"/>
      <c r="F60" s="81">
        <v>1</v>
      </c>
      <c r="G60" s="4"/>
      <c r="H60" s="50">
        <f t="shared" si="4"/>
      </c>
      <c r="I60" s="83">
        <f>IF(OR(G61="",G60=""),"",STDEV(G60:G61)/AVERAGE(G60:G61))</f>
      </c>
      <c r="J60" s="26">
        <f>IF(G60="","",IF($G$24/G60&lt;1,"менее "&amp;$B$12&amp;",0",IF(10^((H60-INTERCEPT($I$12:$I$16,$H$12:$H$16))/SLOPE($I$12:$I$16,$H$12:$H$16))&gt;$B$16,"более "&amp;$B$16&amp;",0",IF(10^((H60-INTERCEPT($I$12:$I$16,$H$12:$H$16))/SLOPE($I$12:$I$16,$H$12:$H$16))&lt;$B$12,"менее "&amp;$B$12&amp;",0",ROUND(10^((H60-INTERCEPT($I$12:$I$16,$H$12:$H$16))/SLOPE($I$12:$I$16,$H$12:$H$16))*F60,2)))))</f>
      </c>
      <c r="K60" s="57" t="e">
        <f>ABS(J60-J61)</f>
        <v>#VALUE!</v>
      </c>
      <c r="L60" s="93">
        <f>IF(M60="","",IF(M60="более "&amp;$B$16&amp;",0","",IF(M60="менее "&amp;$B$12&amp;",0","",IF(0.01*M60*K61&gt;K60,"приемлемо","неприемлемо"))))</f>
      </c>
      <c r="M60" s="85">
        <f>IF(OR(J60="",J61=""),"",IF(OR(J60="менее "&amp;$B$12&amp;",0",J61="менее "&amp;$B$12&amp;",0"),"менее "&amp;$B$12&amp;",0",IF(OR(J60="более "&amp;$B$16&amp;",0",J61="более "&amp;$B$16&amp;",0"),"более "&amp;$B$16&amp;",0",ROUND(AVERAGE(J60:J61),1))))</f>
      </c>
      <c r="N60" s="95">
        <f>IF(M60="","",IF(M60="более "&amp;$B$16&amp;",0","",IF(M60="менее "&amp;$B$12&amp;",0","",0.01*M60*VLOOKUP(D60,$R$6:$U$16,4,FALSE))))</f>
      </c>
      <c r="O60" s="87"/>
      <c r="P60" s="10"/>
      <c r="Q60" s="10"/>
    </row>
    <row r="61" spans="1:17" ht="15">
      <c r="A61" s="76"/>
      <c r="B61" s="79"/>
      <c r="C61" s="80"/>
      <c r="D61" s="91"/>
      <c r="E61" s="92"/>
      <c r="F61" s="82"/>
      <c r="G61" s="4"/>
      <c r="H61" s="50">
        <f t="shared" si="4"/>
      </c>
      <c r="I61" s="84" t="str">
        <f t="shared" si="3"/>
        <v>0,0%</v>
      </c>
      <c r="J61" s="26">
        <f>IF(G61="","",IF($G$24/G61&lt;1,"менее "&amp;$B$12&amp;",0",IF(10^((H61-INTERCEPT($I$12:$I$16,$H$12:$H$16))/SLOPE($I$12:$I$16,$H$12:$H$16))&gt;$B$16,"более "&amp;$B$16&amp;",0",IF(10^((H61-INTERCEPT($I$12:$I$16,$H$12:$H$16))/SLOPE($I$12:$I$16,$H$12:$H$16))&lt;$B$12,"менее "&amp;$B$12&amp;",0",ROUND(10^((H61-INTERCEPT($I$12:$I$16,$H$12:$H$16))/SLOPE($I$12:$I$16,$H$12:$H$16))*F60,2)))))</f>
      </c>
      <c r="K61" s="58" t="e">
        <f>VLOOKUP(D60,$R$6:$U$16,3,FALSE)</f>
        <v>#N/A</v>
      </c>
      <c r="L61" s="94"/>
      <c r="M61" s="86"/>
      <c r="N61" s="96"/>
      <c r="O61" s="88"/>
      <c r="P61" s="10"/>
      <c r="Q61" s="10"/>
    </row>
    <row r="62" spans="1:17" ht="15">
      <c r="A62" s="75">
        <v>17</v>
      </c>
      <c r="B62" s="77"/>
      <c r="C62" s="78"/>
      <c r="D62" s="89">
        <v>1</v>
      </c>
      <c r="E62" s="90"/>
      <c r="F62" s="81">
        <v>1</v>
      </c>
      <c r="G62" s="4"/>
      <c r="H62" s="50">
        <f t="shared" si="4"/>
      </c>
      <c r="I62" s="83">
        <f>IF(OR(G63="",G62=""),"",STDEV(G62:G63)/AVERAGE(G62:G63))</f>
      </c>
      <c r="J62" s="26">
        <f>IF(G62="","",IF($G$24/G62&lt;1,"менее "&amp;$B$12&amp;",0",IF(10^((H62-INTERCEPT($I$12:$I$16,$H$12:$H$16))/SLOPE($I$12:$I$16,$H$12:$H$16))&gt;$B$16,"более "&amp;$B$16&amp;",0",IF(10^((H62-INTERCEPT($I$12:$I$16,$H$12:$H$16))/SLOPE($I$12:$I$16,$H$12:$H$16))&lt;$B$12,"менее "&amp;$B$12&amp;",0",ROUND(10^((H62-INTERCEPT($I$12:$I$16,$H$12:$H$16))/SLOPE($I$12:$I$16,$H$12:$H$16))*F62,2)))))</f>
      </c>
      <c r="K62" s="57" t="e">
        <f>ABS(J62-J63)</f>
        <v>#VALUE!</v>
      </c>
      <c r="L62" s="93">
        <f>IF(M62="","",IF(M62="более "&amp;$B$16&amp;",0","",IF(M62="менее "&amp;$B$12&amp;",0","",IF(0.01*M62*K63&gt;K62,"приемлемо","неприемлемо"))))</f>
      </c>
      <c r="M62" s="85">
        <f>IF(OR(J62="",J63=""),"",IF(OR(J62="менее "&amp;$B$12&amp;",0",J63="менее "&amp;$B$12&amp;",0"),"менее "&amp;$B$12&amp;",0",IF(OR(J62="более "&amp;$B$16&amp;",0",J63="более "&amp;$B$16&amp;",0"),"более "&amp;$B$16&amp;",0",ROUND(AVERAGE(J62:J63),1))))</f>
      </c>
      <c r="N62" s="95">
        <f>IF(M62="","",IF(M62="более "&amp;$B$16&amp;",0","",IF(M62="менее "&amp;$B$12&amp;",0","",0.01*M62*VLOOKUP(D62,$R$6:$U$16,4,FALSE))))</f>
      </c>
      <c r="O62" s="87"/>
      <c r="P62" s="10"/>
      <c r="Q62" s="10"/>
    </row>
    <row r="63" spans="1:17" ht="15">
      <c r="A63" s="76"/>
      <c r="B63" s="79"/>
      <c r="C63" s="80"/>
      <c r="D63" s="91"/>
      <c r="E63" s="92"/>
      <c r="F63" s="82"/>
      <c r="G63" s="4"/>
      <c r="H63" s="50">
        <f t="shared" si="4"/>
      </c>
      <c r="I63" s="84" t="str">
        <f t="shared" si="3"/>
        <v>0,0%</v>
      </c>
      <c r="J63" s="26">
        <f>IF(G63="","",IF($G$24/G63&lt;1,"менее "&amp;$B$12&amp;",0",IF(10^((H63-INTERCEPT($I$12:$I$16,$H$12:$H$16))/SLOPE($I$12:$I$16,$H$12:$H$16))&gt;$B$16,"более "&amp;$B$16&amp;",0",IF(10^((H63-INTERCEPT($I$12:$I$16,$H$12:$H$16))/SLOPE($I$12:$I$16,$H$12:$H$16))&lt;$B$12,"менее "&amp;$B$12&amp;",0",ROUND(10^((H63-INTERCEPT($I$12:$I$16,$H$12:$H$16))/SLOPE($I$12:$I$16,$H$12:$H$16))*F62,2)))))</f>
      </c>
      <c r="K63" s="58" t="e">
        <f>VLOOKUP(D62,$R$6:$U$16,3,FALSE)</f>
        <v>#N/A</v>
      </c>
      <c r="L63" s="94"/>
      <c r="M63" s="86"/>
      <c r="N63" s="96"/>
      <c r="O63" s="88"/>
      <c r="P63" s="10"/>
      <c r="Q63" s="10"/>
    </row>
    <row r="64" spans="1:17" ht="15">
      <c r="A64" s="75">
        <v>18</v>
      </c>
      <c r="B64" s="77"/>
      <c r="C64" s="78"/>
      <c r="D64" s="89">
        <v>1</v>
      </c>
      <c r="E64" s="90"/>
      <c r="F64" s="81">
        <v>1</v>
      </c>
      <c r="G64" s="4"/>
      <c r="H64" s="50">
        <f t="shared" si="4"/>
      </c>
      <c r="I64" s="83">
        <f>IF(OR(G65="",G64=""),"",STDEV(G64:G65)/AVERAGE(G64:G65))</f>
      </c>
      <c r="J64" s="26">
        <f>IF(G64="","",IF($G$24/G64&lt;1,"менее "&amp;$B$12&amp;",0",IF(10^((H64-INTERCEPT($I$12:$I$16,$H$12:$H$16))/SLOPE($I$12:$I$16,$H$12:$H$16))&gt;$B$16,"более "&amp;$B$16&amp;",0",IF(10^((H64-INTERCEPT($I$12:$I$16,$H$12:$H$16))/SLOPE($I$12:$I$16,$H$12:$H$16))&lt;$B$12,"менее "&amp;$B$12&amp;",0",ROUND(10^((H64-INTERCEPT($I$12:$I$16,$H$12:$H$16))/SLOPE($I$12:$I$16,$H$12:$H$16))*F64,2)))))</f>
      </c>
      <c r="K64" s="57" t="e">
        <f>ABS(J64-J65)</f>
        <v>#VALUE!</v>
      </c>
      <c r="L64" s="93">
        <f>IF(M64="","",IF(M64="более "&amp;$B$16&amp;",0","",IF(M64="менее "&amp;$B$12&amp;",0","",IF(0.01*M64*K65&gt;K64,"приемлемо","неприемлемо"))))</f>
      </c>
      <c r="M64" s="85">
        <f>IF(OR(J64="",J65=""),"",IF(OR(J64="менее "&amp;$B$12&amp;",0",J65="менее "&amp;$B$12&amp;",0"),"менее "&amp;$B$12&amp;",0",IF(OR(J64="более "&amp;$B$16&amp;",0",J65="более "&amp;$B$16&amp;",0"),"более "&amp;$B$16&amp;",0",ROUND(AVERAGE(J64:J65),1))))</f>
      </c>
      <c r="N64" s="95">
        <f>IF(M64="","",IF(M64="более "&amp;$B$16&amp;",0","",IF(M64="менее "&amp;$B$12&amp;",0","",0.01*M64*VLOOKUP(D64,$R$6:$U$16,4,FALSE))))</f>
      </c>
      <c r="O64" s="87"/>
      <c r="P64" s="10"/>
      <c r="Q64" s="10"/>
    </row>
    <row r="65" spans="1:17" ht="15">
      <c r="A65" s="76"/>
      <c r="B65" s="79"/>
      <c r="C65" s="80"/>
      <c r="D65" s="91"/>
      <c r="E65" s="92"/>
      <c r="F65" s="82"/>
      <c r="G65" s="4"/>
      <c r="H65" s="50">
        <f t="shared" si="4"/>
      </c>
      <c r="I65" s="84" t="str">
        <f t="shared" si="3"/>
        <v>0,0%</v>
      </c>
      <c r="J65" s="26">
        <f>IF(G65="","",IF($G$24/G65&lt;1,"менее "&amp;$B$12&amp;",0",IF(10^((H65-INTERCEPT($I$12:$I$16,$H$12:$H$16))/SLOPE($I$12:$I$16,$H$12:$H$16))&gt;$B$16,"более "&amp;$B$16&amp;",0",IF(10^((H65-INTERCEPT($I$12:$I$16,$H$12:$H$16))/SLOPE($I$12:$I$16,$H$12:$H$16))&lt;$B$12,"менее "&amp;$B$12&amp;",0",ROUND(10^((H65-INTERCEPT($I$12:$I$16,$H$12:$H$16))/SLOPE($I$12:$I$16,$H$12:$H$16))*F64,2)))))</f>
      </c>
      <c r="K65" s="58" t="e">
        <f>VLOOKUP(D64,$R$6:$U$16,3,FALSE)</f>
        <v>#N/A</v>
      </c>
      <c r="L65" s="94"/>
      <c r="M65" s="86"/>
      <c r="N65" s="96"/>
      <c r="O65" s="88"/>
      <c r="P65" s="10"/>
      <c r="Q65" s="10"/>
    </row>
    <row r="66" spans="1:17" ht="15">
      <c r="A66" s="75">
        <v>19</v>
      </c>
      <c r="B66" s="77"/>
      <c r="C66" s="78"/>
      <c r="D66" s="89">
        <v>1</v>
      </c>
      <c r="E66" s="90"/>
      <c r="F66" s="81">
        <v>1</v>
      </c>
      <c r="G66" s="4"/>
      <c r="H66" s="50">
        <f t="shared" si="4"/>
      </c>
      <c r="I66" s="83">
        <f>IF(OR(G67="",G66=""),"",STDEV(G66:G67)/AVERAGE(G66:G67))</f>
      </c>
      <c r="J66" s="26">
        <f>IF(G66="","",IF($G$24/G66&lt;1,"менее "&amp;$B$12&amp;",0",IF(10^((H66-INTERCEPT($I$12:$I$16,$H$12:$H$16))/SLOPE($I$12:$I$16,$H$12:$H$16))&gt;$B$16,"более "&amp;$B$16&amp;",0",IF(10^((H66-INTERCEPT($I$12:$I$16,$H$12:$H$16))/SLOPE($I$12:$I$16,$H$12:$H$16))&lt;$B$12,"менее "&amp;$B$12&amp;",0",ROUND(10^((H66-INTERCEPT($I$12:$I$16,$H$12:$H$16))/SLOPE($I$12:$I$16,$H$12:$H$16))*F66,2)))))</f>
      </c>
      <c r="K66" s="57" t="e">
        <f>ABS(J66-J67)</f>
        <v>#VALUE!</v>
      </c>
      <c r="L66" s="93">
        <f>IF(M66="","",IF(M66="более "&amp;$B$16&amp;",0","",IF(M66="менее "&amp;$B$12&amp;",0","",IF(0.01*M66*K67&gt;K66,"приемлемо","неприемлемо"))))</f>
      </c>
      <c r="M66" s="85">
        <f>IF(OR(J66="",J67=""),"",IF(OR(J66="менее "&amp;$B$12&amp;",0",J67="менее "&amp;$B$12&amp;",0"),"менее "&amp;$B$12&amp;",0",IF(OR(J66="более "&amp;$B$16&amp;",0",J67="более "&amp;$B$16&amp;",0"),"более "&amp;$B$16&amp;",0",ROUND(AVERAGE(J66:J67),1))))</f>
      </c>
      <c r="N66" s="95">
        <f>IF(M66="","",IF(M66="более "&amp;$B$16&amp;",0","",IF(M66="менее "&amp;$B$12&amp;",0","",0.01*M66*VLOOKUP(D66,$R$6:$U$16,4,FALSE))))</f>
      </c>
      <c r="O66" s="87"/>
      <c r="P66" s="10"/>
      <c r="Q66" s="10"/>
    </row>
    <row r="67" spans="1:17" ht="15">
      <c r="A67" s="76"/>
      <c r="B67" s="79"/>
      <c r="C67" s="80"/>
      <c r="D67" s="91"/>
      <c r="E67" s="92"/>
      <c r="F67" s="82"/>
      <c r="G67" s="4"/>
      <c r="H67" s="50">
        <f t="shared" si="4"/>
      </c>
      <c r="I67" s="84" t="str">
        <f t="shared" si="3"/>
        <v>0,0%</v>
      </c>
      <c r="J67" s="26">
        <f>IF(G67="","",IF($G$24/G67&lt;1,"менее "&amp;$B$12&amp;",0",IF(10^((H67-INTERCEPT($I$12:$I$16,$H$12:$H$16))/SLOPE($I$12:$I$16,$H$12:$H$16))&gt;$B$16,"более "&amp;$B$16&amp;",0",IF(10^((H67-INTERCEPT($I$12:$I$16,$H$12:$H$16))/SLOPE($I$12:$I$16,$H$12:$H$16))&lt;$B$12,"менее "&amp;$B$12&amp;",0",ROUND(10^((H67-INTERCEPT($I$12:$I$16,$H$12:$H$16))/SLOPE($I$12:$I$16,$H$12:$H$16))*F66,2)))))</f>
      </c>
      <c r="K67" s="58" t="e">
        <f>VLOOKUP(D66,$R$6:$U$16,3,FALSE)</f>
        <v>#N/A</v>
      </c>
      <c r="L67" s="94"/>
      <c r="M67" s="86"/>
      <c r="N67" s="96"/>
      <c r="O67" s="88"/>
      <c r="P67" s="10"/>
      <c r="Q67" s="10"/>
    </row>
    <row r="68" spans="1:17" ht="15">
      <c r="A68" s="75">
        <v>20</v>
      </c>
      <c r="B68" s="77"/>
      <c r="C68" s="78"/>
      <c r="D68" s="89">
        <v>1</v>
      </c>
      <c r="E68" s="90"/>
      <c r="F68" s="81">
        <v>1</v>
      </c>
      <c r="G68" s="4"/>
      <c r="H68" s="50">
        <f>IF(G68="","",LOG(((G68/G$23)/(1-(G68/G$23)))))</f>
      </c>
      <c r="I68" s="83">
        <f>IF(OR(G69="",G68=""),"",STDEV(G68:G69)/AVERAGE(G68:G69))</f>
      </c>
      <c r="J68" s="26">
        <f>IF(G68="","",IF($G$24/G68&lt;1,"менее "&amp;$B$12&amp;",0",IF(10^((H68-INTERCEPT($I$12:$I$16,$H$12:$H$16))/SLOPE($I$12:$I$16,$H$12:$H$16))&gt;$B$16,"более "&amp;$B$16&amp;",0",IF(10^((H68-INTERCEPT($I$12:$I$16,$H$12:$H$16))/SLOPE($I$12:$I$16,$H$12:$H$16))&lt;$B$12,"менее "&amp;$B$12&amp;",0",ROUND(10^((H68-INTERCEPT($I$12:$I$16,$H$12:$H$16))/SLOPE($I$12:$I$16,$H$12:$H$16))*F68,2)))))</f>
      </c>
      <c r="K68" s="57" t="e">
        <f>ABS(J68-J69)</f>
        <v>#VALUE!</v>
      </c>
      <c r="L68" s="93">
        <f>IF(M68="","",IF(M68="более "&amp;$B$16&amp;",0","",IF(M68="менее "&amp;$B$12&amp;",0","",IF(0.01*M68*K69&gt;K68,"приемлемо","неприемлемо"))))</f>
      </c>
      <c r="M68" s="85">
        <f>IF(OR(J68="",J69=""),"",IF(OR(J68="менее "&amp;$B$12&amp;",0",J69="менее "&amp;$B$12&amp;",0"),"менее "&amp;$B$12&amp;",0",IF(OR(J68="более "&amp;$B$16&amp;",0",J69="более "&amp;$B$16&amp;",0"),"более "&amp;$B$16&amp;",0",ROUND(AVERAGE(J68:J69),1))))</f>
      </c>
      <c r="N68" s="95">
        <f>IF(M68="","",IF(M68="более "&amp;$B$16&amp;",0","",IF(M68="менее "&amp;$B$12&amp;",0","",0.01*M68*VLOOKUP(D68,$R$6:$U$16,4,FALSE))))</f>
      </c>
      <c r="O68" s="87"/>
      <c r="P68" s="10"/>
      <c r="Q68" s="10"/>
    </row>
    <row r="69" spans="1:17" ht="15.75" thickBot="1">
      <c r="A69" s="76"/>
      <c r="B69" s="79"/>
      <c r="C69" s="80"/>
      <c r="D69" s="91"/>
      <c r="E69" s="92"/>
      <c r="F69" s="82"/>
      <c r="G69" s="4"/>
      <c r="H69" s="50">
        <f t="shared" si="4"/>
      </c>
      <c r="I69" s="84" t="str">
        <f>IF(G69=H69,"0,0%",STDEV(G69:H69)/AVERAGE(G69:H69))</f>
        <v>0,0%</v>
      </c>
      <c r="J69" s="26">
        <f>IF(G69="","",IF($G$24/G69&lt;1,"менее "&amp;$B$12&amp;",0",IF(10^((H69-INTERCEPT($I$12:$I$16,$H$12:$H$16))/SLOPE($I$12:$I$16,$H$12:$H$16))&gt;$B$16,"более "&amp;$B$16&amp;",0",IF(10^((H69-INTERCEPT($I$12:$I$16,$H$12:$H$16))/SLOPE($I$12:$I$16,$H$12:$H$16))&lt;$B$12,"менее "&amp;$B$12&amp;",0",ROUND(10^((H69-INTERCEPT($I$12:$I$16,$H$12:$H$16))/SLOPE($I$12:$I$16,$H$12:$H$16))*F68,2)))))</f>
      </c>
      <c r="K69" s="58" t="e">
        <f>VLOOKUP(D68,$R$6:$U$16,3,FALSE)</f>
        <v>#N/A</v>
      </c>
      <c r="L69" s="94"/>
      <c r="M69" s="97"/>
      <c r="N69" s="98"/>
      <c r="O69" s="88"/>
      <c r="P69" s="10"/>
      <c r="Q69" s="10"/>
    </row>
    <row r="70" spans="1:17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0"/>
      <c r="Q70" s="10"/>
    </row>
    <row r="71" spans="1:17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0"/>
      <c r="Q71" s="10"/>
    </row>
    <row r="72" spans="1:17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0"/>
      <c r="Q72" s="10"/>
    </row>
    <row r="73" spans="1:17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0"/>
      <c r="Q73" s="10"/>
    </row>
  </sheetData>
  <sheetProtection/>
  <mergeCells count="234">
    <mergeCell ref="M24:N24"/>
    <mergeCell ref="M25:N25"/>
    <mergeCell ref="M26:N26"/>
    <mergeCell ref="M27:N27"/>
    <mergeCell ref="M22:N22"/>
    <mergeCell ref="L32:L33"/>
    <mergeCell ref="N32:N33"/>
    <mergeCell ref="L30:L31"/>
    <mergeCell ref="N30:N31"/>
    <mergeCell ref="M28:N28"/>
    <mergeCell ref="D30:E30"/>
    <mergeCell ref="D31:E31"/>
    <mergeCell ref="D32:E32"/>
    <mergeCell ref="D33:E33"/>
    <mergeCell ref="D34:E34"/>
    <mergeCell ref="D35:E35"/>
    <mergeCell ref="D10:E10"/>
    <mergeCell ref="D22:E22"/>
    <mergeCell ref="D23:E23"/>
    <mergeCell ref="D24:E24"/>
    <mergeCell ref="D25:E25"/>
    <mergeCell ref="C5:H5"/>
    <mergeCell ref="C6:H6"/>
    <mergeCell ref="C7:H7"/>
    <mergeCell ref="C8:H8"/>
    <mergeCell ref="A10:C10"/>
    <mergeCell ref="A5:B5"/>
    <mergeCell ref="A6:B6"/>
    <mergeCell ref="A7:B7"/>
    <mergeCell ref="A8:B8"/>
    <mergeCell ref="B27:C27"/>
    <mergeCell ref="B29:C29"/>
    <mergeCell ref="B28:C28"/>
    <mergeCell ref="B30:C31"/>
    <mergeCell ref="F30:F31"/>
    <mergeCell ref="B22:C22"/>
    <mergeCell ref="B23:C23"/>
    <mergeCell ref="B24:C24"/>
    <mergeCell ref="B25:C25"/>
    <mergeCell ref="B26:C26"/>
    <mergeCell ref="D26:E26"/>
    <mergeCell ref="D27:E27"/>
    <mergeCell ref="D29:E29"/>
    <mergeCell ref="I30:I31"/>
    <mergeCell ref="M30:M31"/>
    <mergeCell ref="O30:O31"/>
    <mergeCell ref="A32:A33"/>
    <mergeCell ref="B32:C33"/>
    <mergeCell ref="F32:F33"/>
    <mergeCell ref="I32:I33"/>
    <mergeCell ref="M32:M33"/>
    <mergeCell ref="O32:O33"/>
    <mergeCell ref="A30:A31"/>
    <mergeCell ref="A36:A37"/>
    <mergeCell ref="B36:C37"/>
    <mergeCell ref="F36:F37"/>
    <mergeCell ref="I36:I37"/>
    <mergeCell ref="M36:M37"/>
    <mergeCell ref="O36:O37"/>
    <mergeCell ref="L36:L37"/>
    <mergeCell ref="N36:N37"/>
    <mergeCell ref="D36:E36"/>
    <mergeCell ref="D37:E37"/>
    <mergeCell ref="A34:A35"/>
    <mergeCell ref="B34:C35"/>
    <mergeCell ref="F34:F35"/>
    <mergeCell ref="I34:I35"/>
    <mergeCell ref="M34:M35"/>
    <mergeCell ref="O34:O35"/>
    <mergeCell ref="L34:L35"/>
    <mergeCell ref="N34:N35"/>
    <mergeCell ref="A40:A41"/>
    <mergeCell ref="B40:C41"/>
    <mergeCell ref="F40:F41"/>
    <mergeCell ref="I40:I41"/>
    <mergeCell ref="M40:M41"/>
    <mergeCell ref="O40:O41"/>
    <mergeCell ref="D40:E40"/>
    <mergeCell ref="D41:E41"/>
    <mergeCell ref="L40:L41"/>
    <mergeCell ref="N40:N41"/>
    <mergeCell ref="A38:A39"/>
    <mergeCell ref="B38:C39"/>
    <mergeCell ref="F38:F39"/>
    <mergeCell ref="I38:I39"/>
    <mergeCell ref="M38:M39"/>
    <mergeCell ref="O38:O39"/>
    <mergeCell ref="D39:E39"/>
    <mergeCell ref="L38:L39"/>
    <mergeCell ref="N38:N39"/>
    <mergeCell ref="D38:E38"/>
    <mergeCell ref="A44:A45"/>
    <mergeCell ref="B44:C45"/>
    <mergeCell ref="F44:F45"/>
    <mergeCell ref="I44:I45"/>
    <mergeCell ref="M44:M45"/>
    <mergeCell ref="O44:O45"/>
    <mergeCell ref="D44:E44"/>
    <mergeCell ref="D45:E45"/>
    <mergeCell ref="L44:L45"/>
    <mergeCell ref="N44:N45"/>
    <mergeCell ref="A42:A43"/>
    <mergeCell ref="B42:C43"/>
    <mergeCell ref="F42:F43"/>
    <mergeCell ref="I42:I43"/>
    <mergeCell ref="M42:M43"/>
    <mergeCell ref="O42:O43"/>
    <mergeCell ref="D42:E42"/>
    <mergeCell ref="D43:E43"/>
    <mergeCell ref="L42:L43"/>
    <mergeCell ref="N42:N43"/>
    <mergeCell ref="A48:A49"/>
    <mergeCell ref="B48:C49"/>
    <mergeCell ref="F48:F49"/>
    <mergeCell ref="I48:I49"/>
    <mergeCell ref="M48:M49"/>
    <mergeCell ref="O48:O49"/>
    <mergeCell ref="D48:E48"/>
    <mergeCell ref="D49:E49"/>
    <mergeCell ref="L48:L49"/>
    <mergeCell ref="N48:N49"/>
    <mergeCell ref="A46:A47"/>
    <mergeCell ref="B46:C47"/>
    <mergeCell ref="F46:F47"/>
    <mergeCell ref="I46:I47"/>
    <mergeCell ref="M46:M47"/>
    <mergeCell ref="O46:O47"/>
    <mergeCell ref="D46:E46"/>
    <mergeCell ref="D47:E47"/>
    <mergeCell ref="L46:L47"/>
    <mergeCell ref="N46:N47"/>
    <mergeCell ref="A52:A53"/>
    <mergeCell ref="B52:C53"/>
    <mergeCell ref="F52:F53"/>
    <mergeCell ref="I52:I53"/>
    <mergeCell ref="M52:M53"/>
    <mergeCell ref="O52:O53"/>
    <mergeCell ref="D52:E52"/>
    <mergeCell ref="D53:E53"/>
    <mergeCell ref="L52:L53"/>
    <mergeCell ref="N52:N53"/>
    <mergeCell ref="A50:A51"/>
    <mergeCell ref="B50:C51"/>
    <mergeCell ref="F50:F51"/>
    <mergeCell ref="I50:I51"/>
    <mergeCell ref="M50:M51"/>
    <mergeCell ref="O50:O51"/>
    <mergeCell ref="D50:E50"/>
    <mergeCell ref="D51:E51"/>
    <mergeCell ref="L50:L51"/>
    <mergeCell ref="N50:N51"/>
    <mergeCell ref="A56:A57"/>
    <mergeCell ref="B56:C57"/>
    <mergeCell ref="F56:F57"/>
    <mergeCell ref="I56:I57"/>
    <mergeCell ref="M56:M57"/>
    <mergeCell ref="O56:O57"/>
    <mergeCell ref="D56:E56"/>
    <mergeCell ref="D57:E57"/>
    <mergeCell ref="L56:L57"/>
    <mergeCell ref="N56:N57"/>
    <mergeCell ref="A54:A55"/>
    <mergeCell ref="B54:C55"/>
    <mergeCell ref="F54:F55"/>
    <mergeCell ref="I54:I55"/>
    <mergeCell ref="M54:M55"/>
    <mergeCell ref="O54:O55"/>
    <mergeCell ref="D54:E54"/>
    <mergeCell ref="D55:E55"/>
    <mergeCell ref="L54:L55"/>
    <mergeCell ref="N54:N55"/>
    <mergeCell ref="A60:A61"/>
    <mergeCell ref="B60:C61"/>
    <mergeCell ref="F60:F61"/>
    <mergeCell ref="I60:I61"/>
    <mergeCell ref="M60:M61"/>
    <mergeCell ref="O60:O61"/>
    <mergeCell ref="D60:E60"/>
    <mergeCell ref="D61:E61"/>
    <mergeCell ref="L60:L61"/>
    <mergeCell ref="N60:N61"/>
    <mergeCell ref="A58:A59"/>
    <mergeCell ref="B58:C59"/>
    <mergeCell ref="F58:F59"/>
    <mergeCell ref="I58:I59"/>
    <mergeCell ref="M58:M59"/>
    <mergeCell ref="O58:O59"/>
    <mergeCell ref="D58:E58"/>
    <mergeCell ref="D59:E59"/>
    <mergeCell ref="L58:L59"/>
    <mergeCell ref="N58:N59"/>
    <mergeCell ref="A64:A65"/>
    <mergeCell ref="B64:C65"/>
    <mergeCell ref="F64:F65"/>
    <mergeCell ref="I64:I65"/>
    <mergeCell ref="M64:M65"/>
    <mergeCell ref="O64:O65"/>
    <mergeCell ref="D64:E64"/>
    <mergeCell ref="D65:E65"/>
    <mergeCell ref="L64:L65"/>
    <mergeCell ref="N64:N65"/>
    <mergeCell ref="I62:I63"/>
    <mergeCell ref="M62:M63"/>
    <mergeCell ref="O62:O63"/>
    <mergeCell ref="D62:E62"/>
    <mergeCell ref="D63:E63"/>
    <mergeCell ref="L62:L63"/>
    <mergeCell ref="N62:N63"/>
    <mergeCell ref="A68:A69"/>
    <mergeCell ref="B68:C69"/>
    <mergeCell ref="F68:F69"/>
    <mergeCell ref="I68:I69"/>
    <mergeCell ref="M68:M69"/>
    <mergeCell ref="O68:O69"/>
    <mergeCell ref="D68:E68"/>
    <mergeCell ref="D69:E69"/>
    <mergeCell ref="L68:L69"/>
    <mergeCell ref="N68:N69"/>
    <mergeCell ref="M66:M67"/>
    <mergeCell ref="O66:O67"/>
    <mergeCell ref="D66:E66"/>
    <mergeCell ref="D67:E67"/>
    <mergeCell ref="L66:L67"/>
    <mergeCell ref="N66:N67"/>
    <mergeCell ref="A1:D1"/>
    <mergeCell ref="E1:H1"/>
    <mergeCell ref="A3:I3"/>
    <mergeCell ref="A66:A67"/>
    <mergeCell ref="B66:C67"/>
    <mergeCell ref="F66:F67"/>
    <mergeCell ref="I66:I67"/>
    <mergeCell ref="A62:A63"/>
    <mergeCell ref="B62:C63"/>
    <mergeCell ref="F62:F63"/>
  </mergeCells>
  <printOptions/>
  <pageMargins left="0.7" right="0.7" top="0.32" bottom="0.32" header="0.3" footer="0.3"/>
  <pageSetup fitToHeight="1" fitToWidth="1" horizontalDpi="600" verticalDpi="600" orientation="landscape" paperSize="9" scale="5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8"/>
  <sheetViews>
    <sheetView zoomScalePageLayoutView="0" workbookViewId="0" topLeftCell="A13">
      <selection activeCell="B22" sqref="B22"/>
    </sheetView>
  </sheetViews>
  <sheetFormatPr defaultColWidth="9.140625" defaultRowHeight="15"/>
  <cols>
    <col min="2" max="2" width="98.421875" style="0" customWidth="1"/>
  </cols>
  <sheetData>
    <row r="1" ht="21">
      <c r="B1" s="65" t="s">
        <v>44</v>
      </c>
    </row>
    <row r="3" ht="15.75">
      <c r="B3" s="66" t="s">
        <v>45</v>
      </c>
    </row>
    <row r="4" ht="75">
      <c r="B4" s="67" t="s">
        <v>55</v>
      </c>
    </row>
    <row r="6" ht="15.75">
      <c r="B6" s="66" t="s">
        <v>46</v>
      </c>
    </row>
    <row r="7" ht="30">
      <c r="B7" s="67" t="s">
        <v>47</v>
      </c>
    </row>
    <row r="9" ht="15.75">
      <c r="B9" s="66" t="s">
        <v>48</v>
      </c>
    </row>
    <row r="10" ht="30">
      <c r="B10" s="67" t="s">
        <v>56</v>
      </c>
    </row>
    <row r="12" ht="15.75">
      <c r="B12" s="66" t="s">
        <v>49</v>
      </c>
    </row>
    <row r="13" ht="30">
      <c r="B13" s="67" t="s">
        <v>50</v>
      </c>
    </row>
    <row r="15" ht="15.75">
      <c r="B15" s="66" t="s">
        <v>51</v>
      </c>
    </row>
    <row r="16" ht="90">
      <c r="B16" s="67" t="s">
        <v>57</v>
      </c>
    </row>
    <row r="18" ht="15.75">
      <c r="B18" s="66" t="s">
        <v>3</v>
      </c>
    </row>
    <row r="19" ht="210">
      <c r="B19" s="67" t="s">
        <v>58</v>
      </c>
    </row>
    <row r="21" ht="15.75">
      <c r="B21" s="66" t="s">
        <v>62</v>
      </c>
    </row>
    <row r="22" ht="165">
      <c r="B22" s="67" t="s">
        <v>59</v>
      </c>
    </row>
    <row r="24" ht="15.75">
      <c r="B24" s="66" t="s">
        <v>52</v>
      </c>
    </row>
    <row r="25" ht="151.5" customHeight="1">
      <c r="B25" s="68" t="s">
        <v>60</v>
      </c>
    </row>
    <row r="27" ht="15.75">
      <c r="B27" s="66" t="s">
        <v>53</v>
      </c>
    </row>
    <row r="28" ht="45">
      <c r="B28" s="67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КНОпка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Ткачев Сергей</cp:lastModifiedBy>
  <cp:lastPrinted>2018-04-12T18:09:27Z</cp:lastPrinted>
  <dcterms:created xsi:type="dcterms:W3CDTF">2017-02-14T06:48:35Z</dcterms:created>
  <dcterms:modified xsi:type="dcterms:W3CDTF">2021-04-23T10:42:46Z</dcterms:modified>
  <cp:category/>
  <cp:version/>
  <cp:contentType/>
  <cp:contentStatus/>
</cp:coreProperties>
</file>